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C:\Users\sorturs\Box\VMware\TCSA-2.4\Sizing-sheet\"/>
    </mc:Choice>
  </mc:AlternateContent>
  <xr:revisionPtr revIDLastSave="0" documentId="13_ncr:1_{45B03003-0189-4A99-B109-C96399969A15}" xr6:coauthVersionLast="47" xr6:coauthVersionMax="47" xr10:uidLastSave="{00000000-0000-0000-0000-000000000000}"/>
  <bookViews>
    <workbookView xWindow="-120" yWindow="-120" windowWidth="51840" windowHeight="21120" tabRatio="882" activeTab="1" xr2:uid="{00000000-000D-0000-FFFF-FFFF00000000}"/>
  </bookViews>
  <sheets>
    <sheet name="Document Front Page" sheetId="26" r:id="rId1"/>
    <sheet name="Quick Sizing" sheetId="23" r:id="rId2"/>
    <sheet name="Advanced Sizing" sheetId="13" r:id="rId3"/>
    <sheet name="Quick Sizing notes" sheetId="19" r:id="rId4"/>
    <sheet name="Data" sheetId="18" state="hidden" r:id="rId5"/>
    <sheet name="Advanced Sizing notes" sheetId="24" r:id="rId6"/>
  </sheets>
  <externalReferences>
    <externalReference r:id="rId7"/>
  </externalReferences>
  <definedNames>
    <definedName name="AggSAMsRequired">'Quick Sizing'!$E$64</definedName>
    <definedName name="CombinedCPU_SNMP_Poll">Data!$A$10:$F$11</definedName>
    <definedName name="CombinedSingleThreadedDiscoveryCPU">Data!$A$22:$H$23</definedName>
    <definedName name="DiscoveryBytes">Data!$A$46:$I$47</definedName>
    <definedName name="DiscoveryMultiThreadedCPU">Data!$A$28:$H$29</definedName>
    <definedName name="DiscoverySingleThreadedCPU">Data!$A$40:$H$41</definedName>
    <definedName name="FractionalAggSAMs">'Quick Sizing'!$E$63</definedName>
    <definedName name="IPNetworks">'Quick Sizing'!$E$39</definedName>
    <definedName name="IPServers">'Quick Sizing'!$E$15</definedName>
    <definedName name="MaxCoresPerPresSAM">[1]Data!$C$44</definedName>
    <definedName name="MaxCoresPerSAM">[1]Data!$C$43</definedName>
    <definedName name="MaxReconnectTimeInSeconds">'Quick Sizing'!$E$42</definedName>
    <definedName name="Memory">Data!$A$4:$I$5</definedName>
    <definedName name="NewMatrix">Data!$A$52:$G$53</definedName>
    <definedName name="OfflineNewMatrix">Data!$A$58:$G$59</definedName>
    <definedName name="OIServers">'Quick Sizing'!$E$16</definedName>
    <definedName name="OS">Data!$A$4:$A$5</definedName>
    <definedName name="PollingBytes">Data!$A$16:$G$17</definedName>
    <definedName name="PollingMultithreadedCPU">Data!$A$64:$I$65</definedName>
    <definedName name="PollingSingleThreadedCPU">Data!$A$70:$I$71</definedName>
    <definedName name="PostProcessing">Data!$A$76:$G$77</definedName>
    <definedName name="PresentationSAMsRequired">'Quick Sizing'!$E$70</definedName>
    <definedName name="Reconfigure">Data!$A$82:$G$83</definedName>
    <definedName name="ReconnectCPUPerIPServer">'Quick Sizing'!$E$53</definedName>
    <definedName name="RetainedNotifications">'Quick Sizing'!$E$23</definedName>
    <definedName name="SecOne">Data!$A$91:$B$91</definedName>
    <definedName name="TopoSync">Data!$A$88:$G$89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3" i="13" l="1"/>
  <c r="F93" i="13"/>
  <c r="G93" i="13"/>
  <c r="H93" i="13"/>
  <c r="I93" i="13"/>
  <c r="J93" i="13"/>
  <c r="M64" i="13" l="1"/>
  <c r="C41" i="13" l="1"/>
  <c r="D41" i="13"/>
  <c r="E41" i="13"/>
  <c r="F41" i="13"/>
  <c r="G41" i="13"/>
  <c r="H41" i="13"/>
  <c r="I41" i="13"/>
  <c r="J41" i="13"/>
  <c r="J42" i="13" l="1"/>
  <c r="H42" i="13"/>
  <c r="F42" i="13"/>
  <c r="D42" i="13"/>
  <c r="E27" i="13"/>
  <c r="C27" i="13" l="1"/>
  <c r="C28" i="13" s="1"/>
  <c r="D57" i="23" l="1"/>
  <c r="D46" i="23"/>
  <c r="D38" i="23"/>
  <c r="D33" i="23"/>
  <c r="D22" i="23"/>
  <c r="D21" i="23"/>
  <c r="D20" i="23"/>
  <c r="D19" i="23"/>
  <c r="E6" i="23"/>
  <c r="D23" i="23" l="1"/>
  <c r="D25" i="23"/>
  <c r="D26" i="23"/>
  <c r="D65" i="23" s="1"/>
  <c r="D24" i="23"/>
  <c r="D27" i="23" s="1"/>
  <c r="D56" i="23" l="1"/>
  <c r="D70" i="23"/>
  <c r="D69" i="23"/>
  <c r="D66" i="23"/>
  <c r="D44" i="23"/>
  <c r="D31" i="23"/>
  <c r="D45" i="23"/>
  <c r="D53" i="23"/>
  <c r="D32" i="23"/>
  <c r="D36" i="23"/>
  <c r="D37" i="23"/>
  <c r="D42" i="23"/>
  <c r="D55" i="23"/>
  <c r="D64" i="23"/>
  <c r="D30" i="23"/>
  <c r="D52" i="23"/>
  <c r="D35" i="23"/>
  <c r="D41" i="23"/>
  <c r="D68" i="23"/>
  <c r="D28" i="23"/>
  <c r="D67" i="23" l="1"/>
  <c r="D54" i="23"/>
  <c r="D49" i="23"/>
  <c r="D71" i="23"/>
  <c r="D60" i="23"/>
  <c r="D43" i="23"/>
  <c r="E39" i="23"/>
  <c r="D39" i="23" s="1"/>
  <c r="E34" i="23"/>
  <c r="D34" i="23" s="1"/>
  <c r="D61" i="23" l="1"/>
  <c r="D62" i="23" s="1"/>
  <c r="D50" i="23"/>
  <c r="D51" i="23" s="1"/>
  <c r="C34" i="23"/>
  <c r="C39" i="23"/>
  <c r="K3" i="13" l="1"/>
  <c r="C31" i="13"/>
  <c r="E28" i="13"/>
  <c r="G27" i="13"/>
  <c r="G29" i="13" s="1"/>
  <c r="I27" i="13"/>
  <c r="I28" i="13" s="1"/>
  <c r="E38" i="13"/>
  <c r="G38" i="13"/>
  <c r="C42" i="13"/>
  <c r="E42" i="13"/>
  <c r="G42" i="13"/>
  <c r="I42" i="13"/>
  <c r="D91" i="13"/>
  <c r="E91" i="13"/>
  <c r="F91" i="13"/>
  <c r="G91" i="13"/>
  <c r="H91" i="13"/>
  <c r="I91" i="13"/>
  <c r="J91" i="13"/>
  <c r="D92" i="13"/>
  <c r="E92" i="13"/>
  <c r="F92" i="13"/>
  <c r="G92" i="13"/>
  <c r="H92" i="13"/>
  <c r="I92" i="13"/>
  <c r="J92" i="13"/>
  <c r="I38" i="13" l="1"/>
  <c r="E31" i="13"/>
  <c r="C30" i="13"/>
  <c r="C38" i="13"/>
  <c r="C29" i="13"/>
  <c r="G28" i="13"/>
  <c r="G30" i="13"/>
  <c r="G31" i="13"/>
  <c r="I29" i="13"/>
  <c r="I31" i="13"/>
  <c r="E29" i="13"/>
  <c r="I30" i="13"/>
  <c r="E30" i="13"/>
  <c r="C32" i="13" l="1"/>
  <c r="C33" i="13"/>
  <c r="C37" i="13" s="1"/>
  <c r="C34" i="13"/>
  <c r="D47" i="13" s="1"/>
  <c r="D49" i="13" s="1"/>
  <c r="G34" i="13"/>
  <c r="G47" i="13" s="1"/>
  <c r="G49" i="13" s="1"/>
  <c r="G32" i="13"/>
  <c r="G33" i="13"/>
  <c r="G37" i="13" s="1"/>
  <c r="I32" i="13"/>
  <c r="E33" i="13"/>
  <c r="E37" i="13" s="1"/>
  <c r="I33" i="13"/>
  <c r="I37" i="13" s="1"/>
  <c r="I34" i="13"/>
  <c r="J47" i="13" s="1"/>
  <c r="J49" i="13" s="1"/>
  <c r="E34" i="13"/>
  <c r="E32" i="13"/>
  <c r="D52" i="13" l="1"/>
  <c r="F57" i="13"/>
  <c r="F77" i="13" s="1"/>
  <c r="F53" i="13"/>
  <c r="E55" i="13"/>
  <c r="E52" i="13"/>
  <c r="F56" i="13"/>
  <c r="E54" i="13"/>
  <c r="F55" i="13"/>
  <c r="E57" i="13"/>
  <c r="E77" i="13" s="1"/>
  <c r="E53" i="13"/>
  <c r="F58" i="13"/>
  <c r="F78" i="13" s="1"/>
  <c r="F54" i="13"/>
  <c r="E56" i="13"/>
  <c r="F52" i="13"/>
  <c r="E58" i="13"/>
  <c r="E78" i="13" s="1"/>
  <c r="J57" i="13"/>
  <c r="J77" i="13" s="1"/>
  <c r="J53" i="13"/>
  <c r="I55" i="13"/>
  <c r="I52" i="13"/>
  <c r="J56" i="13"/>
  <c r="I58" i="13"/>
  <c r="I78" i="13" s="1"/>
  <c r="I54" i="13"/>
  <c r="J55" i="13"/>
  <c r="I57" i="13"/>
  <c r="I77" i="13" s="1"/>
  <c r="I53" i="13"/>
  <c r="J58" i="13"/>
  <c r="J78" i="13" s="1"/>
  <c r="J54" i="13"/>
  <c r="I56" i="13"/>
  <c r="J52" i="13"/>
  <c r="G35" i="13"/>
  <c r="G36" i="13" s="1"/>
  <c r="H46" i="13" s="1"/>
  <c r="H48" i="13" s="1"/>
  <c r="H57" i="13"/>
  <c r="H77" i="13" s="1"/>
  <c r="H53" i="13"/>
  <c r="G55" i="13"/>
  <c r="H56" i="13"/>
  <c r="G58" i="13"/>
  <c r="G78" i="13" s="1"/>
  <c r="G54" i="13"/>
  <c r="G71" i="13"/>
  <c r="H55" i="13"/>
  <c r="G57" i="13"/>
  <c r="G77" i="13" s="1"/>
  <c r="G53" i="13"/>
  <c r="G52" i="13"/>
  <c r="H58" i="13"/>
  <c r="H78" i="13" s="1"/>
  <c r="H54" i="13"/>
  <c r="G56" i="13"/>
  <c r="H52" i="13"/>
  <c r="C35" i="13"/>
  <c r="C36" i="13" s="1"/>
  <c r="D73" i="13" s="1"/>
  <c r="D82" i="13" s="1"/>
  <c r="D89" i="13" s="1"/>
  <c r="D93" i="13" s="1"/>
  <c r="D58" i="13"/>
  <c r="D78" i="13" s="1"/>
  <c r="D54" i="13"/>
  <c r="C55" i="13"/>
  <c r="D57" i="13"/>
  <c r="D77" i="13" s="1"/>
  <c r="C58" i="13"/>
  <c r="C78" i="13" s="1"/>
  <c r="C54" i="13"/>
  <c r="C53" i="13"/>
  <c r="D56" i="13"/>
  <c r="C57" i="13"/>
  <c r="C77" i="13" s="1"/>
  <c r="D53" i="13"/>
  <c r="C52" i="13"/>
  <c r="D55" i="13"/>
  <c r="C56" i="13"/>
  <c r="C47" i="13"/>
  <c r="C49" i="13" s="1"/>
  <c r="D71" i="13"/>
  <c r="C71" i="13"/>
  <c r="H47" i="13"/>
  <c r="H49" i="13" s="1"/>
  <c r="I71" i="13"/>
  <c r="I35" i="13"/>
  <c r="I36" i="13" s="1"/>
  <c r="I44" i="13" s="1"/>
  <c r="H71" i="13"/>
  <c r="J71" i="13"/>
  <c r="I47" i="13"/>
  <c r="I49" i="13" s="1"/>
  <c r="E47" i="13"/>
  <c r="E49" i="13" s="1"/>
  <c r="F47" i="13"/>
  <c r="F49" i="13" s="1"/>
  <c r="E71" i="13"/>
  <c r="F71" i="13"/>
  <c r="E35" i="13"/>
  <c r="E36" i="13" s="1"/>
  <c r="C46" i="13" l="1"/>
  <c r="C48" i="13" s="1"/>
  <c r="C50" i="13" s="1"/>
  <c r="C76" i="13" s="1"/>
  <c r="H43" i="13"/>
  <c r="G46" i="13"/>
  <c r="G48" i="13" s="1"/>
  <c r="G50" i="13" s="1"/>
  <c r="G76" i="13" s="1"/>
  <c r="E44" i="13"/>
  <c r="F44" i="13"/>
  <c r="E43" i="13"/>
  <c r="G43" i="13"/>
  <c r="G44" i="13"/>
  <c r="H44" i="13"/>
  <c r="D46" i="13"/>
  <c r="D48" i="13" s="1"/>
  <c r="D50" i="13" s="1"/>
  <c r="D76" i="13" s="1"/>
  <c r="C43" i="13"/>
  <c r="D44" i="13"/>
  <c r="C44" i="13"/>
  <c r="D43" i="13"/>
  <c r="G73" i="13"/>
  <c r="G82" i="13" s="1"/>
  <c r="G89" i="13" s="1"/>
  <c r="H73" i="13"/>
  <c r="H82" i="13" s="1"/>
  <c r="H89" i="13" s="1"/>
  <c r="C73" i="13"/>
  <c r="F43" i="13"/>
  <c r="J43" i="13"/>
  <c r="I43" i="13"/>
  <c r="J44" i="13"/>
  <c r="J73" i="13"/>
  <c r="J82" i="13" s="1"/>
  <c r="J89" i="13" s="1"/>
  <c r="H50" i="13"/>
  <c r="H76" i="13" s="1"/>
  <c r="J46" i="13"/>
  <c r="J48" i="13" s="1"/>
  <c r="J50" i="13" s="1"/>
  <c r="J76" i="13" s="1"/>
  <c r="I46" i="13"/>
  <c r="I48" i="13" s="1"/>
  <c r="I50" i="13" s="1"/>
  <c r="I76" i="13" s="1"/>
  <c r="I73" i="13"/>
  <c r="I82" i="13" s="1"/>
  <c r="I89" i="13" s="1"/>
  <c r="F73" i="13"/>
  <c r="F82" i="13" s="1"/>
  <c r="F89" i="13" s="1"/>
  <c r="F46" i="13"/>
  <c r="F48" i="13" s="1"/>
  <c r="F50" i="13" s="1"/>
  <c r="F76" i="13" s="1"/>
  <c r="E46" i="13"/>
  <c r="E48" i="13" s="1"/>
  <c r="E50" i="13" s="1"/>
  <c r="E76" i="13" s="1"/>
  <c r="E73" i="13"/>
  <c r="E82" i="13" s="1"/>
  <c r="E89" i="13" s="1"/>
  <c r="H45" i="13" l="1"/>
  <c r="H59" i="13" s="1"/>
  <c r="H66" i="13" s="1"/>
  <c r="G45" i="13"/>
  <c r="G75" i="13" s="1"/>
  <c r="G87" i="13" s="1"/>
  <c r="D45" i="13"/>
  <c r="D67" i="13" s="1"/>
  <c r="C45" i="13"/>
  <c r="C65" i="13" s="1"/>
  <c r="J45" i="13"/>
  <c r="J75" i="13" s="1"/>
  <c r="J87" i="13" s="1"/>
  <c r="I45" i="13"/>
  <c r="F45" i="13"/>
  <c r="E45" i="13"/>
  <c r="H63" i="13" l="1"/>
  <c r="H62" i="13"/>
  <c r="H68" i="13"/>
  <c r="H65" i="13"/>
  <c r="H67" i="13"/>
  <c r="H69" i="13"/>
  <c r="H75" i="13"/>
  <c r="H87" i="13" s="1"/>
  <c r="G59" i="13"/>
  <c r="G63" i="13" s="1"/>
  <c r="G65" i="13"/>
  <c r="G67" i="13"/>
  <c r="C59" i="13"/>
  <c r="C62" i="13" s="1"/>
  <c r="C75" i="13"/>
  <c r="C87" i="13" s="1"/>
  <c r="C92" i="13" s="1"/>
  <c r="C67" i="13"/>
  <c r="D59" i="13"/>
  <c r="D68" i="13" s="1"/>
  <c r="D75" i="13"/>
  <c r="D87" i="13" s="1"/>
  <c r="D65" i="13"/>
  <c r="D69" i="13"/>
  <c r="J59" i="13"/>
  <c r="J66" i="13" s="1"/>
  <c r="E65" i="13"/>
  <c r="E67" i="13"/>
  <c r="F69" i="13"/>
  <c r="F65" i="13"/>
  <c r="F67" i="13"/>
  <c r="I65" i="13"/>
  <c r="I67" i="13"/>
  <c r="J65" i="13"/>
  <c r="J67" i="13"/>
  <c r="J69" i="13"/>
  <c r="F75" i="13"/>
  <c r="F87" i="13" s="1"/>
  <c r="E75" i="13"/>
  <c r="E87" i="13" s="1"/>
  <c r="I75" i="13"/>
  <c r="I87" i="13" s="1"/>
  <c r="I59" i="13"/>
  <c r="E59" i="13"/>
  <c r="F59" i="13"/>
  <c r="H64" i="13" l="1"/>
  <c r="H70" i="13" s="1"/>
  <c r="H80" i="13" s="1"/>
  <c r="H85" i="13" s="1"/>
  <c r="G66" i="13"/>
  <c r="G69" i="13"/>
  <c r="G62" i="13"/>
  <c r="G64" i="13" s="1"/>
  <c r="G68" i="13"/>
  <c r="C69" i="13"/>
  <c r="C68" i="13"/>
  <c r="C66" i="13"/>
  <c r="C63" i="13"/>
  <c r="C64" i="13" s="1"/>
  <c r="D63" i="13"/>
  <c r="D62" i="13"/>
  <c r="D66" i="13"/>
  <c r="J68" i="13"/>
  <c r="J62" i="13"/>
  <c r="J63" i="13"/>
  <c r="F68" i="13"/>
  <c r="F66" i="13"/>
  <c r="F63" i="13"/>
  <c r="F62" i="13"/>
  <c r="E63" i="13"/>
  <c r="E62" i="13"/>
  <c r="E68" i="13"/>
  <c r="E66" i="13"/>
  <c r="E69" i="13"/>
  <c r="I68" i="13"/>
  <c r="I66" i="13"/>
  <c r="I63" i="13"/>
  <c r="I69" i="13"/>
  <c r="I62" i="13"/>
  <c r="H72" i="13" l="1"/>
  <c r="H81" i="13" s="1"/>
  <c r="H79" i="13"/>
  <c r="G70" i="13"/>
  <c r="G80" i="13" s="1"/>
  <c r="G85" i="13" s="1"/>
  <c r="D64" i="13"/>
  <c r="D70" i="13" s="1"/>
  <c r="D80" i="13" s="1"/>
  <c r="D85" i="13" s="1"/>
  <c r="C70" i="13"/>
  <c r="C80" i="13" s="1"/>
  <c r="C85" i="13" s="1"/>
  <c r="C91" i="13" s="1"/>
  <c r="J64" i="13"/>
  <c r="J70" i="13" s="1"/>
  <c r="E64" i="13"/>
  <c r="F64" i="13"/>
  <c r="F70" i="13" s="1"/>
  <c r="C72" i="13"/>
  <c r="C81" i="13" s="1"/>
  <c r="G72" i="13"/>
  <c r="G81" i="13" s="1"/>
  <c r="I64" i="13"/>
  <c r="I70" i="13" s="1"/>
  <c r="C79" i="13"/>
  <c r="G79" i="13"/>
  <c r="C82" i="13"/>
  <c r="C89" i="13" s="1"/>
  <c r="C93" i="13" s="1"/>
  <c r="D72" i="13" l="1"/>
  <c r="D81" i="13" s="1"/>
  <c r="D79" i="13"/>
  <c r="J79" i="13"/>
  <c r="J72" i="13"/>
  <c r="J81" i="13" s="1"/>
  <c r="F79" i="13"/>
  <c r="F72" i="13"/>
  <c r="F81" i="13" s="1"/>
  <c r="I72" i="13"/>
  <c r="I81" i="13" s="1"/>
  <c r="I79" i="13"/>
  <c r="J80" i="13"/>
  <c r="J85" i="13" s="1"/>
  <c r="I80" i="13" l="1"/>
  <c r="I85" i="13" s="1"/>
  <c r="F80" i="13"/>
  <c r="F85" i="13" s="1"/>
  <c r="E70" i="13" l="1"/>
  <c r="E80" i="13" s="1"/>
  <c r="E85" i="13" s="1"/>
  <c r="E79" i="13"/>
  <c r="E72" i="13"/>
  <c r="E81"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Duane Tiemann</author>
    <author>gbrodsky</author>
    <author>EMC</author>
  </authors>
  <commentList>
    <comment ref="D9" authorId="0" shapeId="0" xr:uid="{00000000-0006-0000-0100-000001000000}">
      <text>
        <r>
          <rPr>
            <b/>
            <sz val="8"/>
            <color rgb="FF000000"/>
            <rFont val="Tahoma"/>
            <family val="2"/>
          </rPr>
          <t xml:space="preserve">The SpecInt speed be obtained from SpecInt web site at http://www.spec.org/cpu2006/results/cint2006.html
</t>
        </r>
        <r>
          <rPr>
            <b/>
            <sz val="8"/>
            <color rgb="FF000000"/>
            <rFont val="Tahoma"/>
            <family val="2"/>
          </rPr>
          <t>21 is a medium speed these days. 30 is fast. 40+ is way fast.</t>
        </r>
        <r>
          <rPr>
            <sz val="8"/>
            <color rgb="FF000000"/>
            <rFont val="Tahoma"/>
            <family val="2"/>
          </rPr>
          <t xml:space="preserve">
</t>
        </r>
        <r>
          <rPr>
            <sz val="8"/>
            <color rgb="FF000000"/>
            <rFont val="Tahoma"/>
            <family val="2"/>
          </rPr>
          <t xml:space="preserve">
</t>
        </r>
        <r>
          <rPr>
            <b/>
            <sz val="8"/>
            <color rgb="FF000000"/>
            <rFont val="Tahoma"/>
            <family val="2"/>
          </rPr>
          <t xml:space="preserve">For Linux the cpu model can be obtained via "cat /proc/cpuinfo".  
</t>
        </r>
        <r>
          <rPr>
            <b/>
            <sz val="8"/>
            <color rgb="FF000000"/>
            <rFont val="Tahoma"/>
            <family val="2"/>
          </rPr>
          <t xml:space="preserve">For Windows, depending on the version, it can usually be obtained from Computer or 'My Computer' properties.  
</t>
        </r>
        <r>
          <rPr>
            <b/>
            <sz val="8"/>
            <color rgb="FF000000"/>
            <rFont val="Tahoma"/>
            <family val="2"/>
          </rPr>
          <t xml:space="preserve">Right click on Computer or 'My Computer' to get to properties.  
</t>
        </r>
        <r>
          <rPr>
            <b/>
            <sz val="8"/>
            <color rgb="FF000000"/>
            <rFont val="Tahoma"/>
            <family val="2"/>
          </rPr>
          <t>e.g. "Intel(R) Xeon(R) CPU X5680 @ 3.33GHz (2 processors)"</t>
        </r>
      </text>
    </comment>
    <comment ref="D10" authorId="0" shapeId="0" xr:uid="{00000000-0006-0000-0100-000002000000}">
      <text>
        <r>
          <rPr>
            <b/>
            <sz val="8"/>
            <color rgb="FF000000"/>
            <rFont val="Tahoma"/>
            <family val="2"/>
          </rPr>
          <t xml:space="preserve">Default IP Polling Interval is 120 seconds.  
</t>
        </r>
        <r>
          <rPr>
            <b/>
            <sz val="8"/>
            <color rgb="FF000000"/>
            <rFont val="Tahoma"/>
            <family val="2"/>
          </rPr>
          <t>This value affects the bandwidth calculation only.</t>
        </r>
      </text>
    </comment>
    <comment ref="D11" authorId="0" shapeId="0" xr:uid="{00000000-0006-0000-0100-000003000000}">
      <text>
        <r>
          <rPr>
            <b/>
            <sz val="8"/>
            <color indexed="81"/>
            <rFont val="Tahoma"/>
            <family val="2"/>
          </rPr>
          <t>Default SNMP Polling Interval is 240 seconds.  
This value affects Polling CPU and Polling Bandwidth calculations.</t>
        </r>
        <r>
          <rPr>
            <sz val="8"/>
            <color indexed="81"/>
            <rFont val="Tahoma"/>
            <family val="2"/>
          </rPr>
          <t xml:space="preserve">
</t>
        </r>
      </text>
    </comment>
    <comment ref="D14" authorId="0" shapeId="0" xr:uid="{00000000-0006-0000-0100-000004000000}">
      <text>
        <r>
          <rPr>
            <b/>
            <sz val="8"/>
            <color indexed="81"/>
            <rFont val="Tahoma"/>
            <family val="2"/>
          </rPr>
          <t>This is time the customer is willing to have a discovery take.   Faster discoveries require more CPUs/Cores.  Discovery cpu is spread over this period in order to estimate the cpu utilization required for discovery and hence the number of cpus/cores required to keep discovery under this time.</t>
        </r>
        <r>
          <rPr>
            <sz val="8"/>
            <color indexed="81"/>
            <rFont val="Tahoma"/>
            <family val="2"/>
          </rPr>
          <t xml:space="preserve">
</t>
        </r>
      </text>
    </comment>
    <comment ref="D15" authorId="1" shapeId="0" xr:uid="{00000000-0006-0000-0100-000005000000}">
      <text>
        <r>
          <rPr>
            <b/>
            <sz val="8"/>
            <color indexed="81"/>
            <rFont val="Tahoma"/>
            <family val="2"/>
          </rPr>
          <t>click to select 
platform</t>
        </r>
        <r>
          <rPr>
            <sz val="8"/>
            <color indexed="81"/>
            <rFont val="Tahoma"/>
            <family val="2"/>
          </rPr>
          <t xml:space="preserve">
</t>
        </r>
      </text>
    </comment>
    <comment ref="D23" authorId="2" shapeId="0" xr:uid="{00000000-0006-0000-0100-000006000000}">
      <text>
        <r>
          <rPr>
            <b/>
            <sz val="9"/>
            <color indexed="81"/>
            <rFont val="Tahoma"/>
            <family val="2"/>
          </rPr>
          <t>Total number of IP's  is calculated by given formula 
Total IP=10 IP's per Router + total number of Devices (1 IP per  device)</t>
        </r>
      </text>
    </comment>
    <comment ref="D24" authorId="2" shapeId="0" xr:uid="{00000000-0006-0000-0100-000007000000}">
      <text>
        <r>
          <rPr>
            <b/>
            <sz val="9"/>
            <color indexed="81"/>
            <rFont val="Tahoma"/>
            <family val="2"/>
          </rPr>
          <t>Total number of interfaces  is calculated by  given concept
Total  number of Interfaces = 
20/Router + total number of  Switches + total number of Hosts</t>
        </r>
      </text>
    </comment>
    <comment ref="D25" authorId="2" shapeId="0" xr:uid="{00000000-0006-0000-0100-000008000000}">
      <text>
        <r>
          <rPr>
            <b/>
            <sz val="9"/>
            <color indexed="81"/>
            <rFont val="Tahoma"/>
            <family val="2"/>
          </rPr>
          <t>Total number of Ports are calculated based on given concept.
Total number of Ports =
60 Ports  per Switch + Total number of Hosts (1 Port Per Host)</t>
        </r>
      </text>
    </comment>
    <comment ref="D26" authorId="2" shapeId="0" xr:uid="{00000000-0006-0000-0100-000009000000}">
      <text>
        <r>
          <rPr>
            <b/>
            <sz val="9"/>
            <color indexed="81"/>
            <rFont val="Tahoma"/>
            <family val="2"/>
          </rPr>
          <t>Total number of Managed Ports  is based on given concept.
Total number of Managed Ports = 
6% of total number of Ports + Total number of Hosts (1 Port  per Hosts)</t>
        </r>
      </text>
    </comment>
    <comment ref="D27" authorId="2" shapeId="0" xr:uid="{00000000-0006-0000-0100-00000A000000}">
      <text>
        <r>
          <rPr>
            <b/>
            <sz val="9"/>
            <color indexed="81"/>
            <rFont val="Tahoma"/>
            <family val="2"/>
          </rPr>
          <t xml:space="preserve">Total number of Managed Interfaces  is based on given concept
Total number of Managed Interfaces =
90%  of  Total Number of Interfaces.
 </t>
        </r>
      </text>
    </comment>
    <comment ref="B28" authorId="2" shapeId="0" xr:uid="{00000000-0006-0000-0100-00000B000000}">
      <text>
        <r>
          <rPr>
            <b/>
            <sz val="9"/>
            <color indexed="81"/>
            <rFont val="Tahoma"/>
            <family val="2"/>
          </rPr>
          <t xml:space="preserve"> Used for Sizing Calculation as per Deployment Guide.</t>
        </r>
        <r>
          <rPr>
            <sz val="9"/>
            <color indexed="81"/>
            <rFont val="Tahoma"/>
            <family val="2"/>
          </rPr>
          <t xml:space="preserve">
</t>
        </r>
      </text>
    </comment>
    <comment ref="C47" authorId="0" shapeId="0" xr:uid="{00000000-0006-0000-0100-00000C000000}">
      <text>
        <r>
          <rPr>
            <b/>
            <sz val="8"/>
            <color indexed="81"/>
            <rFont val="Tahoma"/>
            <family val="2"/>
          </rPr>
          <t>We use this 'fudge factor' to deal with the fact that discovery threads are not always fully driven even in a well tuned system.  Discovery may go through near and far devices so latency will vary.  And there may be strong end effect where one or a few huge devices get discovered at the end of discovery leaving most discovery threads idle.</t>
        </r>
      </text>
    </comment>
    <comment ref="C48" authorId="0" shapeId="0" xr:uid="{00000000-0006-0000-0100-00000D000000}">
      <text>
        <r>
          <rPr>
            <b/>
            <sz val="8"/>
            <color indexed="81"/>
            <rFont val="Tahoma"/>
            <family val="2"/>
          </rPr>
          <t>Exceeding this limit causes an error message below but doesn't otherwise affect the recommendation.  We suspect a requirement of more than 4 cores is dubious.  But in some cases it works out.  More study is needed...</t>
        </r>
      </text>
    </comment>
    <comment ref="C51" authorId="0" shapeId="0" xr:uid="{00000000-0006-0000-0100-00000E000000}">
      <text>
        <r>
          <rPr>
            <b/>
            <sz val="8"/>
            <color indexed="81"/>
            <rFont val="Tahoma"/>
            <family val="2"/>
          </rPr>
          <t>Includes the total CPU requirement for all IP servers.
Generally we expect that a requirement of more than 4 Cpus/Cores is too much, though more research is needed.
We've see discovery take 8 or more cpus, but it is not clear that this results in faster discoveries.</t>
        </r>
      </text>
    </comment>
    <comment ref="C62" authorId="0" shapeId="0" xr:uid="{00000000-0006-0000-0100-00000F000000}">
      <text>
        <r>
          <rPr>
            <b/>
            <sz val="8"/>
            <color indexed="81"/>
            <rFont val="Tahoma"/>
            <family val="2"/>
          </rPr>
          <t>Includes the total CPU requirement for all IP servers.
Generally we expect that a requirement of more than 4 Cpus/Cores is too much, though more research is needed.
We've see discovery take 8 or more cpus, but it is not clear that this results in faster discoveries.</t>
        </r>
      </text>
    </comment>
    <comment ref="C67" authorId="2" shapeId="0" xr:uid="{00000000-0006-0000-0100-000010000000}">
      <text>
        <r>
          <rPr>
            <b/>
            <sz val="9"/>
            <color indexed="81"/>
            <rFont val="Tahoma"/>
            <family val="2"/>
          </rPr>
          <t>EMC:</t>
        </r>
        <r>
          <rPr>
            <sz val="9"/>
            <color indexed="81"/>
            <rFont val="Tahoma"/>
            <family val="2"/>
          </rPr>
          <t xml:space="preserve">
Includes the total Memory requirement for all AM Domain Managers.</t>
        </r>
      </text>
    </comment>
    <comment ref="C71" authorId="2" shapeId="0" xr:uid="{00000000-0006-0000-0100-000011000000}">
      <text>
        <r>
          <rPr>
            <b/>
            <sz val="9"/>
            <color indexed="81"/>
            <rFont val="Tahoma"/>
            <family val="2"/>
          </rPr>
          <t>EMC:</t>
        </r>
        <r>
          <rPr>
            <sz val="9"/>
            <color indexed="81"/>
            <rFont val="Tahoma"/>
            <family val="2"/>
          </rPr>
          <t xml:space="preserve">
Includes the total Memory requirement for all AMPM Domain Managers.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Duane Tiemann</author>
    <author>EMC</author>
  </authors>
  <commentList>
    <comment ref="B8" authorId="0" shapeId="0" xr:uid="{00000000-0006-0000-0200-000001000000}">
      <text>
        <r>
          <rPr>
            <b/>
            <sz val="8"/>
            <color rgb="FF000000"/>
            <rFont val="Tahoma"/>
            <family val="2"/>
          </rPr>
          <t xml:space="preserve">See the Model notes tab for information about how to obtain the SpecInt rating.
</t>
        </r>
      </text>
    </comment>
    <comment ref="B9" authorId="0" shapeId="0" xr:uid="{00000000-0006-0000-0200-000002000000}">
      <text>
        <r>
          <rPr>
            <b/>
            <sz val="8"/>
            <color rgb="FF000000"/>
            <rFont val="Tahoma"/>
            <family val="2"/>
          </rPr>
          <t>See the Model notes tab for informantion on how to obtain the needed SpecInt rating.</t>
        </r>
      </text>
    </comment>
    <comment ref="B10" authorId="0" shapeId="0" xr:uid="{00000000-0006-0000-0200-000003000000}">
      <text>
        <r>
          <rPr>
            <b/>
            <sz val="8"/>
            <color indexed="81"/>
            <rFont val="Tahoma"/>
            <family val="2"/>
          </rPr>
          <t>If fewer cpus than are available on a machine are to be used (e.g. vCpus), use this field to mention that limit.
Typically 4 is a good limit.  4 to 8 is dubious, but we need to do more research...</t>
        </r>
      </text>
    </comment>
    <comment ref="B16" authorId="1" shapeId="0" xr:uid="{00000000-0006-0000-0200-000004000000}">
      <text>
        <r>
          <rPr>
            <sz val="8"/>
            <color indexed="81"/>
            <rFont val="Tahoma"/>
            <family val="2"/>
          </rPr>
          <t>See Model notes tab for more information.NOTE: Use "Routers", "Switches", "Tier 2 -Hosts", "Tier 4 -NAS" only, if Ports,Interfaces,IPs are not known.</t>
        </r>
        <r>
          <rPr>
            <sz val="9"/>
            <color indexed="81"/>
            <rFont val="Tahoma"/>
            <family val="2"/>
          </rPr>
          <t xml:space="preserve">
</t>
        </r>
      </text>
    </comment>
  </commentList>
</comments>
</file>

<file path=xl/sharedStrings.xml><?xml version="1.0" encoding="utf-8"?>
<sst xmlns="http://schemas.openxmlformats.org/spreadsheetml/2006/main" count="487" uniqueCount="188">
  <si>
    <t>User Input</t>
  </si>
  <si>
    <t xml:space="preserve"> Managed Environment</t>
  </si>
  <si>
    <t xml:space="preserve">No. of Routers </t>
  </si>
  <si>
    <t>No. of Switches</t>
  </si>
  <si>
    <t>Tier 2 - Hosts</t>
  </si>
  <si>
    <t>Tier 4 - NAS</t>
  </si>
  <si>
    <t>IP server host CPU speed from SpecInt</t>
  </si>
  <si>
    <t>IP Polling Interval</t>
  </si>
  <si>
    <t>SNMP Polling Interval</t>
  </si>
  <si>
    <t>Total Years to Project Growth</t>
  </si>
  <si>
    <t>Growth per year</t>
  </si>
  <si>
    <t>Target Discovery Duration (hrs)</t>
  </si>
  <si>
    <t>IP server OS (select from drop down list)</t>
  </si>
  <si>
    <t>Linux</t>
  </si>
  <si>
    <t>Sizing Output</t>
  </si>
  <si>
    <t>Do not modify below values</t>
  </si>
  <si>
    <t>Total Growth</t>
  </si>
  <si>
    <t>No. of Routers</t>
  </si>
  <si>
    <t>No. of IP's</t>
  </si>
  <si>
    <t>No. of Interfaces</t>
  </si>
  <si>
    <t>No. of Ports</t>
  </si>
  <si>
    <t>No. of Managed Ports</t>
  </si>
  <si>
    <t>No. of Managed Interfaces</t>
  </si>
  <si>
    <t>TOTAL Managed Ports and Managed Interfaces</t>
  </si>
  <si>
    <t>Memory</t>
  </si>
  <si>
    <t>Availability</t>
  </si>
  <si>
    <t>Managed Interfaces (MB)</t>
  </si>
  <si>
    <t>Managed Ports (MB)</t>
  </si>
  <si>
    <t>Unmanaged Ports (MB)</t>
  </si>
  <si>
    <t>Model  (MB)</t>
  </si>
  <si>
    <t>Availability and Performance</t>
  </si>
  <si>
    <t>Model (MB)</t>
  </si>
  <si>
    <t>CPU</t>
  </si>
  <si>
    <t>Interface</t>
  </si>
  <si>
    <t>Port</t>
  </si>
  <si>
    <t>Polling</t>
  </si>
  <si>
    <t>Single threaded discovery</t>
  </si>
  <si>
    <t>Multi threaded Discovery</t>
  </si>
  <si>
    <t>Target Discovery Time (Sec)</t>
  </si>
  <si>
    <t>Multi threaded Expansion</t>
  </si>
  <si>
    <t>Max CPUs</t>
  </si>
  <si>
    <t>Discovery CPU</t>
  </si>
  <si>
    <t xml:space="preserve">Total </t>
  </si>
  <si>
    <t>TOTAL CPU Cores</t>
  </si>
  <si>
    <t>Bandwidth Requirement
for Polling</t>
  </si>
  <si>
    <t>Managed Interfaces</t>
  </si>
  <si>
    <t>Managed Ports</t>
  </si>
  <si>
    <t>IPs</t>
  </si>
  <si>
    <t>TOTAL (kbits/sec)</t>
  </si>
  <si>
    <r>
      <t xml:space="preserve">Note that the small </t>
    </r>
    <r>
      <rPr>
        <b/>
        <i/>
        <u/>
        <sz val="10"/>
        <color indexed="10"/>
        <rFont val="Arial"/>
        <family val="2"/>
      </rPr>
      <t>red triangle</t>
    </r>
    <r>
      <rPr>
        <b/>
        <sz val="10"/>
        <rFont val="Arial"/>
        <family val="2"/>
      </rPr>
      <t xml:space="preserve"> in the upper right of a field contains information about its use.
The  "Advanaced Sizing notes" tab has more information about use.
NOTE:  Advanaced Sizing tab is different from the Quick Sizing tab.  Quick Sizing tab recommends the number of cpus/cores.   Advanaced Sizing tab predicts performance based on those numbers.</t>
    </r>
  </si>
  <si>
    <t>This model estimates resource usage and run times based on topology and cpu information.
We've be careful about absolute and relative references so the model (the input and associated results) for a topology can be copied at will.
e.g. We've found it useful to mention the topologies for several domain servers running on a machine as columns in a row of models as below.  This allows one to sum the cpu and memory requirements for the machine.  Model columns may be added or deleted as needed via standard Excel functions.  We also like to create a new row of models for other machines so all the topologies for a customer might fit in one spread sheet.
The optional "Comparison to actual results section" is provided as a convenience to help us learn more about the effectiveness of the model.  The idea is that if we can record how well the model did when the true results are known.</t>
  </si>
  <si>
    <t>Topology 1</t>
  </si>
  <si>
    <t>Topology 2</t>
  </si>
  <si>
    <t>Topology 3</t>
  </si>
  <si>
    <t>Topology 4</t>
  </si>
  <si>
    <t>Managed Environment</t>
  </si>
  <si>
    <t>Throughput from SpecInt</t>
  </si>
  <si>
    <t>No. of CPU cores (limit)</t>
  </si>
  <si>
    <t>No. of Unmanaged Interfaces</t>
  </si>
  <si>
    <t>No. of Managed     Interfaces</t>
  </si>
  <si>
    <t>No. of Unmanaged Ports</t>
  </si>
  <si>
    <t>No. of Managed     Ports</t>
  </si>
  <si>
    <t>No. of Managed     IPs</t>
  </si>
  <si>
    <t>Accumulated Growth</t>
  </si>
  <si>
    <t>AM</t>
  </si>
  <si>
    <t>AMPM</t>
  </si>
  <si>
    <t>Effective CPU's</t>
  </si>
  <si>
    <t>No. of CPU's used</t>
  </si>
  <si>
    <t>Multi Threaded CPU %</t>
  </si>
  <si>
    <t>SingleThreaded CPU %</t>
  </si>
  <si>
    <t>TOTAL Polling CPU</t>
  </si>
  <si>
    <t>SNMP Polling bytes/interval</t>
  </si>
  <si>
    <t>IP       Polling bytes/interval</t>
  </si>
  <si>
    <t>SNMP  Polling bandwidth (bits/sec)</t>
  </si>
  <si>
    <t>IP        Polling bandwidth (bits/sec)</t>
  </si>
  <si>
    <t>TOTAL Polling bandwidth (bits/sec)</t>
  </si>
  <si>
    <t>Discovery MultiThreaded CPU (sec)</t>
  </si>
  <si>
    <t>Discovery Single Threaded CPU (sec)</t>
  </si>
  <si>
    <t>Post Processing CPU (sec)</t>
  </si>
  <si>
    <t>Reconfigure CPU (sec)</t>
  </si>
  <si>
    <t>OfflineNewMatrix CPU (sec)</t>
  </si>
  <si>
    <t>NewMatrix CPU (sec)</t>
  </si>
  <si>
    <t>TopoSync CPU (sec)</t>
  </si>
  <si>
    <t>CPU available for Discovery</t>
  </si>
  <si>
    <t>Elapsed Time
(sec)</t>
  </si>
  <si>
    <t>Discovery Multi Threaded expansion factor</t>
  </si>
  <si>
    <t>Discovery Multi Threaded</t>
  </si>
  <si>
    <t>Discovery Single Threaded</t>
  </si>
  <si>
    <t>Total Discovery</t>
  </si>
  <si>
    <t>Post Processing</t>
  </si>
  <si>
    <t>Reconfigure</t>
  </si>
  <si>
    <t>Offline NewMatrix</t>
  </si>
  <si>
    <t>NewMatrix</t>
  </si>
  <si>
    <t>TopoSync</t>
  </si>
  <si>
    <t>End To End</t>
  </si>
  <si>
    <t>Discovery bytes</t>
  </si>
  <si>
    <t>Discovery bandwidth (bits/sec)</t>
  </si>
  <si>
    <t>Total Polling CPU</t>
  </si>
  <si>
    <t>Polling bandwidth (bits/sec)</t>
  </si>
  <si>
    <t>NewMatrix Elapsed Time (sec)</t>
  </si>
  <si>
    <t>TopoSync  Elapsed Time (sec)</t>
  </si>
  <si>
    <t>Discovery Time (seconds)</t>
  </si>
  <si>
    <t>End To End Time (seconds)</t>
  </si>
  <si>
    <t>Discovery bandwidth(bits/sec)</t>
  </si>
  <si>
    <t>Total Memory (MB)</t>
  </si>
  <si>
    <t>Comparison expected results to actual</t>
  </si>
  <si>
    <t>Modeled EndToEnd Time</t>
  </si>
  <si>
    <t>Actual EndToEnd Time</t>
  </si>
  <si>
    <t>Modeled polling CPU</t>
  </si>
  <si>
    <t>Actual polling CPU</t>
  </si>
  <si>
    <t>Model memory (MB)</t>
  </si>
  <si>
    <t>Actual memory (MB)</t>
  </si>
  <si>
    <t>EndToEnd Pct</t>
  </si>
  <si>
    <t>Polling CPU Pct</t>
  </si>
  <si>
    <t>Memory Pct</t>
  </si>
  <si>
    <t>Component</t>
  </si>
  <si>
    <t>Description</t>
  </si>
  <si>
    <t>Overview</t>
  </si>
  <si>
    <t>Estimation of  IPs, Ports and Interfaces.</t>
  </si>
  <si>
    <t>The model will estimate these values from Routers, Switches, Tier 2 Hosts, and Tier 4 Hosts.  But the estimate is quite rough.  If large equipment with thousands of ports or interfaces is anticipated, the estimate will be far too optimistic.</t>
  </si>
  <si>
    <t>CPU usage.</t>
  </si>
  <si>
    <t>If polling cpu should  exceeds 100% on a domain manager we expect late polling will occur.   
However, it is OK for polling cpu to exceed 100% for a machine with several domain managers as long as no single domain manager exceeds 100%.
SpecInt rates cpu speed and throughput.  We estimate the number of "effective" cpus as throughput/speed.  This is different from the number of cpus or cores, threads, available on a machine.  When estimating how "full" a machine is, we advise customers to do the same.
Although there are independent flows of control for cores and threads, the threads within a core and the cores within a cpu contend with each other when in simultaneous use, limiting the overall capacity of the machine.  Thus the capacity of a cpu with 4 cores may be only twice as much as the capacity of 1 core due to such contention.  This effect varies widely across cpu models.  The SpecInt throughput measure nicely quantifies it for us.</t>
  </si>
  <si>
    <t>Discovery CPU and threads</t>
  </si>
  <si>
    <t>We can often take advantage of about 4 cpus for discovery, depending.  Sometimes 8 or more.  In a VMware VM it is best to not over reserve cpus due to the ESX server's dispatching policies.  One would not likely want to reserve 8 vCpus for a VM with a single server in it.  Going forward we hope to improve the parallelism of discovery cpu.  In actual practice, it pays to experiment with discovery threads to compensate for larger latency environments.  Too few will leave us always waiting for device responses and very low cpu utilization.  Too many will result in somewhat slower discovery times but much higher cpu consumption as the threads contend with each other for locks.</t>
  </si>
  <si>
    <t>AM vs AMPM Discovery Bandwidth</t>
  </si>
  <si>
    <t>AM bandwidth may exceed AMPM bandwidth even though more bytes are transmitted by AMPM.  This can happen because AM uses less cpu for discovery and discovery should be cpu constrained.  Thus AM discovery is quicker.  Bandwidth is bits transmitted/discovery time.  If discovery time is shorter, bandwidth increases.</t>
  </si>
  <si>
    <t>Target Discovery Duration</t>
  </si>
  <si>
    <t xml:space="preserve">We use this time as the maximum we'd like to keep discovery under in order to estimate the number of cpus/cores needed. We know it is awkward, but couldn't think of a better way to deal with discovery cpu consumption.
Polling cpu is pretty constant so we feel good about estimating it.  Discovery only occurs periodically and thus doesn't have a natural ongoing requirement.  Discovery time will vary depending on the amount of cpu available, but it is not obvious how much hardware to set aside for it.  This is ultimately a customer decision.  For discoveries lastling a long time it seems to make sense to reserve the capacity to make them go as quickly as possible.  For shorter discoveries, that doesn't make as much sense.
Even in a well tuned system discovery time is difficult to estimate.  In a large environment, there is often end effect (some one huge device is discovered towards the end and that's the only thing going on).  Discovery may go through epochs of near and far devices as well as slow and fast devices so the number of discovery threads in use may not be optimal for the duration of the discovery.  </t>
  </si>
  <si>
    <t>Speed from SpecInt
Throughput from SpecInt</t>
  </si>
  <si>
    <t xml:space="preserve"> AM</t>
  </si>
  <si>
    <t xml:space="preserve"> </t>
  </si>
  <si>
    <t xml:space="preserve"> AMPM</t>
  </si>
  <si>
    <t>OS</t>
  </si>
  <si>
    <t xml:space="preserve"> Fixed</t>
  </si>
  <si>
    <t xml:space="preserve"> Per Interface</t>
  </si>
  <si>
    <t xml:space="preserve"> Per Unmanaged Port</t>
  </si>
  <si>
    <t xml:space="preserve"> Per Managed Port</t>
  </si>
  <si>
    <t>Windows</t>
  </si>
  <si>
    <t>Combined CPU secs/SNMP poll</t>
  </si>
  <si>
    <t xml:space="preserve"> Base Speed</t>
  </si>
  <si>
    <t>Polling bytes</t>
  </si>
  <si>
    <t xml:space="preserve"> Per IP</t>
  </si>
  <si>
    <t>Combined single threaded Discovery CPU</t>
  </si>
  <si>
    <t>Discovery multi threaded cpu</t>
  </si>
  <si>
    <t>Discovery single threaded cpu</t>
  </si>
  <si>
    <t>OfflineNewMatrix</t>
  </si>
  <si>
    <t>Polling multi threaded cpu</t>
  </si>
  <si>
    <t>Polling single threaded cpu</t>
  </si>
  <si>
    <t>PostProcessing</t>
  </si>
  <si>
    <t>1 Sec:</t>
  </si>
  <si>
    <t>Name</t>
  </si>
  <si>
    <t>Platform</t>
  </si>
  <si>
    <t>CPU Cores</t>
  </si>
  <si>
    <t>Total Memory GB</t>
  </si>
  <si>
    <t>strs-vm-154</t>
  </si>
  <si>
    <t>Linux 6.3 VM</t>
  </si>
  <si>
    <t>Intel(R) Xeon(R) CPU E7- 2830  @ 2.13GHz</t>
  </si>
  <si>
    <t>strs-vm-148</t>
  </si>
  <si>
    <t>Windows 2012 VM</t>
  </si>
  <si>
    <t>strs-vm-131</t>
  </si>
  <si>
    <t>RHEL 7 VM</t>
  </si>
  <si>
    <t>Date: 7th Sep 2016</t>
  </si>
  <si>
    <t>Version: 1.0</t>
  </si>
  <si>
    <t>strs-vm-101</t>
  </si>
  <si>
    <t>Linux 5.9 VM</t>
  </si>
  <si>
    <t>strs-vm-103</t>
  </si>
  <si>
    <t>Windows VM</t>
  </si>
  <si>
    <t>Date: 15th Oct 2015</t>
  </si>
  <si>
    <t>strs-vm-105</t>
  </si>
  <si>
    <t>strs-vm-104</t>
  </si>
  <si>
    <t>Windows2008 R2 Sp1 VM</t>
  </si>
  <si>
    <t>strs-vm-100</t>
  </si>
  <si>
    <t>strs-vm-141</t>
  </si>
  <si>
    <t>Windows2012 VM</t>
  </si>
  <si>
    <t>Date: 1st July 2014</t>
  </si>
  <si>
    <t>The model will estimate these values from Routers, Switches, Tier 2 Hosts, and Tier 4 Hosts if needed.  But the estimate is quite rough.  If large equipment with thousands of ports or interfaces is anticipated, the estimate will be far too optimistic.</t>
  </si>
  <si>
    <t>If polling cpu should  exceeds 100% on a domain manager we expect late polling will occur.   However, it is OK for polling cpu to exceed 100% for a machine with several domain managers as long as no single domain manager exceeds 100%.
In the intermediate data we estimate the number of "effective" cpus.  This is different from the number of cpus or cores, threads, available on a machine.  It is taken as SpecInt throughput/SpecInt speed.  When estimating how "full" a machine is, we advise customers to do the same.
Although there are independent flows of control for cores and threads, the threads within a core and the cores within a cpu contend with each other when in simultaneous use, limiting the overall capacity of the machine.  Thus the capacity of a cpu with 4 cores may be only twice as much as the capacity of 1 core due to such contention.  This effect varies widely across cpu models.  The SpecInt throughput measure nicely quantifies it for us.</t>
  </si>
  <si>
    <t>Discovery cpu is taken to max out at whatever is left over from polling.  We can often take advantage of about 4 cpus for discovery, depending.  In a VMware VM it is best to not over reserve cpus due to the ESX server's dispatching policies.  One would not likely want to reserve 8 vCpus for a VM with a single server in it.  Going forward we hope to improve the parallelism of discovery cpu.  In actual practice, it pays to experiment with discovery threads to compensate for larger latency environments.  Too few will leave us always waiting for device responses and very low cpu utilization.  Too many will result in somewhat slower discovery times but much higher cpu consumption as the threads contend with each other for locks.</t>
  </si>
  <si>
    <t>Discovery Time</t>
  </si>
  <si>
    <t xml:space="preserve">The modeled discovery time has tended to be optimistic.  It assumes that discovery is cpu constrained and that the appropriate number of discovery threads are used.  In a large environment, there is often end effect (some one huge device is discovered towards the end and that's the only thing going on).  Discovery may go through epochs of near and far devices as well as slow and fast devices so the number of discovery threads in use may not be optimal for the duration of the discovery.  In order to compensate for these effects we used the "expansion factor" to extend multi threaded discovery time. 
We did the best we could with it, but we do not guarantee that customer discoveries will be as quick as the model predicts.  If your discovery time far exceeds the model, you believe you've optimized the discovery threads to get the shortest discovery time possible, and are willing to work with us a bit, drop us a note... </t>
  </si>
  <si>
    <t>VMware Telco Cloud Service Assurance - IP Manager QuickSizing Guide</t>
  </si>
  <si>
    <t>VMware Telco Cloud Service Assurance - IP Manager Advanced Sizing Guide</t>
  </si>
  <si>
    <t xml:space="preserve">1. Cpu speed is the speed from SpecInt for the cpu model and MHz being considered.  It can be obtained from the SpecInt WebSite at http://www.spec.org/cpu2006/results/cint2006.html
2. Cpu throughput is the throughput from SpecInt for the cpu model and MHz being considered.  It can be obtained from the SpecInt web site at http://www.spec.org/cpu2006/results/rint2006.html
3. For Linux the cpu model can be obtained via "cat /proc/cpuinfo". </t>
  </si>
  <si>
    <t xml:space="preserve">1. Cpu speed is the speed from SpecInt for the cpu model and MHz being considered.  It can be obtained from the SpecInt WebSite at http://www.spec.org/cpu2006/results/cint2006.html
2. Cpu throughput is the throughput from SpecInt for the cpu model and MHz being considered.  It can be obtained from the SpecInt web site at http://www.spec.org/cpu2006/results/rint2006.html
3. For Linux the cpu model can be obtained via "cat /proc/cpuinfo".
</t>
  </si>
  <si>
    <t>VMware Telco Cloud Service  Assurance IP Version 2.4.0.0 Performance Benchmarking and Sizing Guidelines</t>
  </si>
  <si>
    <t>This is a model of IP 2.4.0.0 server performance.
It is based on a regression of data from several customer topologies.  We did the best we could, but the accuracy of discovery time may be far off as the model is much simplified compared to the complex server processing. 
Additionally, accuracy is limited by end effect (discovery of a few devices continues after all the others are long done; improper tuning (not enough discovery threads to compensate for latency);
The approach is to estimate the amount of cpu needed to perform each modeled function and then estimate the elapsed time for that function taking into consideration cpu limitations of multithreading constraints and polling.
The maximium topology that can be supported by a machine is taken to depend on polling and discovery time.  If the machine can not support the specified polling rate, or discovery time exceeds the maximum tolerable, we consider the configuration to not be viable.  Polling is checked and an error issued if it exceeds 100% of a cpu.  Polling is multi-threading but currently we don't achieve the parallelism we'd like.</t>
  </si>
  <si>
    <t>This is a rough model of IP 2.4.0.0 server performance.
It is based on a regression of data from several customer topologies.  We did the best we could, but the accuracy of discovery time may be far off as the model is much simplified compared to the complex server processing. 
Additionally, accuracy is limited by end effect (discovery of a few devices continues after all the others are long done; improper tuning (not enough discovery threads to compensate for latency); etc.
The approach is to estimate the amount of cpu needed to perform each modeled function and then estimate the elapsed time for that function taking into consideration cpu limitations of multithreading constraints and polling.
The maximium topology that can be supported by a machine is taken to depend on polling and discovery time.  If the machine can not support the specified polling rate, or discovery time exceeds the maximum tolerable, we consider the configuration to not be viable.  However, only polling cpu is checked by the model.
We currently expect that polling can not consume more than 1 cpu due to serializaiton in our monitoring system.
Thus, the model expects that a maximum of 3 cpus can be consumed.  In reality, customers will often be able to fully utilize 4 cpus as conditions vary.</t>
  </si>
  <si>
    <t xml:space="preserve">Copyright © 2024 Broadcom. All Rights Reserved. The term “Broadcom” refers to Broadcom Inc. and/or its subsidiaries. For more information, go to https://www.broadcom.com. All trademarks, trade names, service marks, and logos referenced herein belong to their respective companies. Copyright and trademark 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</si>
</sst>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h]:mm:ss;@"/>
  </numFmts>
  <fonts count="26" x14ac:knownFonts="1">
    <font>
      <sz val="11"/>
      <color theme="1"/>
      <name val="Calibri"/>
      <family val="2"/>
      <scheme val="minor"/>
    </font>
    <font>
      <sz val="10"/>
      <name val="Arial"/>
      <family val="2"/>
    </font>
    <font>
      <b/>
      <sz val="10"/>
      <name val="Arial"/>
      <family val="2"/>
    </font>
    <font>
      <sz val="10"/>
      <name val="Arial"/>
      <family val="2"/>
    </font>
    <font>
      <b/>
      <sz val="10"/>
      <color indexed="9"/>
      <name val="Arial"/>
      <family val="2"/>
    </font>
    <font>
      <b/>
      <sz val="8"/>
      <color indexed="81"/>
      <name val="Tahoma"/>
      <family val="2"/>
    </font>
    <font>
      <b/>
      <i/>
      <u/>
      <sz val="10"/>
      <color indexed="10"/>
      <name val="Arial"/>
      <family val="2"/>
    </font>
    <font>
      <sz val="8"/>
      <color indexed="81"/>
      <name val="Tahoma"/>
      <family val="2"/>
    </font>
    <font>
      <b/>
      <sz val="11"/>
      <color theme="1"/>
      <name val="Calibri"/>
      <family val="2"/>
      <scheme val="minor"/>
    </font>
    <font>
      <sz val="11"/>
      <color theme="1"/>
      <name val="Calibri"/>
      <family val="2"/>
      <scheme val="minor"/>
    </font>
    <font>
      <b/>
      <sz val="11"/>
      <color theme="1"/>
      <name val="Arial"/>
      <family val="2"/>
    </font>
    <font>
      <sz val="10"/>
      <color theme="1"/>
      <name val="Arial"/>
      <family val="2"/>
    </font>
    <font>
      <b/>
      <sz val="10"/>
      <color theme="1"/>
      <name val="Arial"/>
      <family val="2"/>
    </font>
    <font>
      <sz val="10"/>
      <color indexed="10"/>
      <name val="Arial"/>
      <family val="2"/>
    </font>
    <font>
      <b/>
      <sz val="11"/>
      <name val="Arial"/>
      <family val="2"/>
    </font>
    <font>
      <i/>
      <sz val="10"/>
      <name val="Arial"/>
      <family val="2"/>
    </font>
    <font>
      <b/>
      <sz val="10"/>
      <color theme="0"/>
      <name val="Arial"/>
      <family val="2"/>
    </font>
    <font>
      <sz val="11"/>
      <name val="Calibri"/>
      <family val="2"/>
      <scheme val="minor"/>
    </font>
    <font>
      <b/>
      <sz val="11"/>
      <name val="Calibri"/>
      <family val="2"/>
      <scheme val="minor"/>
    </font>
    <font>
      <sz val="9"/>
      <color indexed="81"/>
      <name val="Tahoma"/>
      <family val="2"/>
    </font>
    <font>
      <b/>
      <sz val="9"/>
      <color indexed="81"/>
      <name val="Tahoma"/>
      <family val="2"/>
    </font>
    <font>
      <sz val="14"/>
      <color theme="1"/>
      <name val="Calibri"/>
      <family val="2"/>
      <scheme val="minor"/>
    </font>
    <font>
      <sz val="10"/>
      <name val="Calibri"/>
      <family val="2"/>
    </font>
    <font>
      <sz val="11"/>
      <name val="Calibri"/>
      <family val="2"/>
    </font>
    <font>
      <b/>
      <sz val="8"/>
      <color rgb="FF000000"/>
      <name val="Tahoma"/>
      <family val="2"/>
    </font>
    <font>
      <sz val="8"/>
      <color rgb="FF000000"/>
      <name val="Tahoma"/>
      <family val="2"/>
    </font>
  </fonts>
  <fills count="1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0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thin">
        <color theme="0"/>
      </right>
      <top style="thin">
        <color theme="0"/>
      </top>
      <bottom style="thin">
        <color theme="0"/>
      </bottom>
      <diagonal/>
    </border>
  </borders>
  <cellStyleXfs count="4">
    <xf numFmtId="0" fontId="0" fillId="0" borderId="0"/>
    <xf numFmtId="0" fontId="1" fillId="0" borderId="0"/>
    <xf numFmtId="0" fontId="9" fillId="0" borderId="0"/>
    <xf numFmtId="0" fontId="22" fillId="0" borderId="0"/>
  </cellStyleXfs>
  <cellXfs count="294">
    <xf numFmtId="0" fontId="0" fillId="0" borderId="0" xfId="0"/>
    <xf numFmtId="0" fontId="2" fillId="0" borderId="0" xfId="1" applyFont="1"/>
    <xf numFmtId="164" fontId="2" fillId="0" borderId="0" xfId="1" applyNumberFormat="1" applyFont="1"/>
    <xf numFmtId="0" fontId="4" fillId="2" borderId="0" xfId="1" applyFont="1" applyFill="1" applyAlignment="1">
      <alignment horizontal="center" vertical="top" wrapText="1"/>
    </xf>
    <xf numFmtId="0" fontId="3" fillId="0" borderId="0" xfId="1" applyFont="1"/>
    <xf numFmtId="0" fontId="8" fillId="0" borderId="0" xfId="2" applyFont="1" applyAlignment="1">
      <alignment vertical="center"/>
    </xf>
    <xf numFmtId="14" fontId="11" fillId="0" borderId="0" xfId="2" applyNumberFormat="1" applyFont="1" applyAlignment="1">
      <alignment horizontal="left" vertical="center"/>
    </xf>
    <xf numFmtId="0" fontId="11" fillId="0" borderId="0" xfId="2" applyFont="1" applyAlignment="1">
      <alignment horizontal="left" vertical="center"/>
    </xf>
    <xf numFmtId="0" fontId="11" fillId="0" borderId="0" xfId="2" applyFont="1" applyAlignment="1">
      <alignment vertical="center"/>
    </xf>
    <xf numFmtId="0" fontId="12" fillId="0" borderId="0" xfId="2" applyFont="1" applyAlignment="1">
      <alignment horizontal="center"/>
    </xf>
    <xf numFmtId="0" fontId="2" fillId="0" borderId="13" xfId="1" applyFont="1" applyBorder="1" applyProtection="1">
      <protection locked="0"/>
    </xf>
    <xf numFmtId="0" fontId="2" fillId="0" borderId="15" xfId="1" applyFont="1" applyBorder="1" applyProtection="1">
      <protection locked="0"/>
    </xf>
    <xf numFmtId="0" fontId="13" fillId="0" borderId="0" xfId="1" applyFont="1" applyAlignment="1">
      <alignment vertical="center" wrapText="1"/>
    </xf>
    <xf numFmtId="0" fontId="12" fillId="0" borderId="0" xfId="2" applyFont="1" applyAlignment="1">
      <alignment vertical="center"/>
    </xf>
    <xf numFmtId="9" fontId="2" fillId="0" borderId="15" xfId="1" applyNumberFormat="1" applyFont="1" applyBorder="1" applyProtection="1">
      <protection locked="0"/>
    </xf>
    <xf numFmtId="165" fontId="2" fillId="0" borderId="15" xfId="1" applyNumberFormat="1" applyFont="1" applyBorder="1" applyProtection="1">
      <protection locked="0"/>
    </xf>
    <xf numFmtId="9" fontId="2" fillId="6" borderId="18" xfId="1" applyNumberFormat="1" applyFont="1" applyFill="1" applyBorder="1" applyProtection="1">
      <protection locked="0"/>
    </xf>
    <xf numFmtId="0" fontId="2" fillId="0" borderId="0" xfId="1" applyFont="1" applyAlignment="1">
      <alignment horizontal="center"/>
    </xf>
    <xf numFmtId="0" fontId="15" fillId="0" borderId="0" xfId="1" applyFont="1" applyAlignment="1">
      <alignment horizontal="center"/>
    </xf>
    <xf numFmtId="3" fontId="2" fillId="0" borderId="31" xfId="1" applyNumberFormat="1" applyFont="1" applyBorder="1"/>
    <xf numFmtId="3" fontId="2" fillId="0" borderId="15" xfId="1" applyNumberFormat="1" applyFont="1" applyBorder="1"/>
    <xf numFmtId="3" fontId="2" fillId="5" borderId="18" xfId="1" applyNumberFormat="1" applyFont="1" applyFill="1" applyBorder="1"/>
    <xf numFmtId="0" fontId="15" fillId="0" borderId="21" xfId="1" applyFont="1" applyBorder="1" applyAlignment="1">
      <alignment horizontal="center"/>
    </xf>
    <xf numFmtId="0" fontId="15" fillId="0" borderId="22" xfId="1" applyFont="1" applyBorder="1" applyAlignment="1">
      <alignment horizontal="center"/>
    </xf>
    <xf numFmtId="0" fontId="12" fillId="6" borderId="33" xfId="2" applyFont="1" applyFill="1" applyBorder="1" applyAlignment="1">
      <alignment vertical="center"/>
    </xf>
    <xf numFmtId="0" fontId="12" fillId="6" borderId="4" xfId="2" applyFont="1" applyFill="1" applyBorder="1" applyAlignment="1">
      <alignment vertical="center"/>
    </xf>
    <xf numFmtId="1" fontId="12" fillId="0" borderId="15" xfId="2" applyNumberFormat="1" applyFont="1" applyBorder="1" applyAlignment="1">
      <alignment vertical="center"/>
    </xf>
    <xf numFmtId="3" fontId="12" fillId="0" borderId="15" xfId="2" applyNumberFormat="1" applyFont="1" applyBorder="1" applyAlignment="1">
      <alignment vertical="center"/>
    </xf>
    <xf numFmtId="3" fontId="12" fillId="0" borderId="0" xfId="2" applyNumberFormat="1" applyFont="1" applyAlignment="1">
      <alignment vertical="center"/>
    </xf>
    <xf numFmtId="0" fontId="12" fillId="5" borderId="4" xfId="2" applyFont="1" applyFill="1" applyBorder="1" applyAlignment="1">
      <alignment vertical="center"/>
    </xf>
    <xf numFmtId="4" fontId="12" fillId="5" borderId="15" xfId="2" applyNumberFormat="1" applyFont="1" applyFill="1" applyBorder="1" applyAlignment="1">
      <alignment vertical="center"/>
    </xf>
    <xf numFmtId="1" fontId="16" fillId="0" borderId="0" xfId="2" applyNumberFormat="1" applyFont="1" applyAlignment="1">
      <alignment vertical="center"/>
    </xf>
    <xf numFmtId="0" fontId="12" fillId="5" borderId="28" xfId="2" applyFont="1" applyFill="1" applyBorder="1" applyAlignment="1">
      <alignment vertical="center"/>
    </xf>
    <xf numFmtId="4" fontId="12" fillId="5" borderId="18" xfId="2" applyNumberFormat="1" applyFont="1" applyFill="1" applyBorder="1" applyAlignment="1">
      <alignment vertical="center"/>
    </xf>
    <xf numFmtId="3" fontId="16" fillId="0" borderId="0" xfId="2" applyNumberFormat="1" applyFont="1" applyAlignment="1">
      <alignment vertical="center"/>
    </xf>
    <xf numFmtId="0" fontId="12" fillId="6" borderId="29" xfId="2" applyFont="1" applyFill="1" applyBorder="1" applyAlignment="1">
      <alignment horizontal="left" vertical="center"/>
    </xf>
    <xf numFmtId="10" fontId="12" fillId="0" borderId="31" xfId="2" applyNumberFormat="1" applyFont="1" applyBorder="1" applyAlignment="1">
      <alignment vertical="center"/>
    </xf>
    <xf numFmtId="10" fontId="12" fillId="0" borderId="0" xfId="2" applyNumberFormat="1" applyFont="1" applyAlignment="1">
      <alignment vertical="center"/>
    </xf>
    <xf numFmtId="10" fontId="12" fillId="0" borderId="15" xfId="2" applyNumberFormat="1" applyFont="1" applyBorder="1" applyAlignment="1">
      <alignment vertical="center"/>
    </xf>
    <xf numFmtId="0" fontId="12" fillId="6" borderId="14" xfId="2" applyFont="1" applyFill="1" applyBorder="1" applyAlignment="1">
      <alignment vertical="center"/>
    </xf>
    <xf numFmtId="0" fontId="12" fillId="5" borderId="14" xfId="2" applyFont="1" applyFill="1" applyBorder="1" applyAlignment="1">
      <alignment horizontal="left" vertical="center"/>
    </xf>
    <xf numFmtId="10" fontId="12" fillId="5" borderId="15" xfId="2" applyNumberFormat="1" applyFont="1" applyFill="1" applyBorder="1" applyAlignment="1">
      <alignment vertical="center"/>
    </xf>
    <xf numFmtId="0" fontId="12" fillId="5" borderId="16" xfId="2" applyFont="1" applyFill="1" applyBorder="1" applyAlignment="1">
      <alignment vertical="center"/>
    </xf>
    <xf numFmtId="1" fontId="12" fillId="5" borderId="18" xfId="2" applyNumberFormat="1" applyFont="1" applyFill="1" applyBorder="1" applyAlignment="1">
      <alignment vertical="center"/>
    </xf>
    <xf numFmtId="0" fontId="12" fillId="6" borderId="29" xfId="2" applyFont="1" applyFill="1" applyBorder="1" applyAlignment="1">
      <alignment vertical="center"/>
    </xf>
    <xf numFmtId="10" fontId="12" fillId="0" borderId="34" xfId="2" applyNumberFormat="1" applyFont="1" applyBorder="1" applyAlignment="1">
      <alignment vertical="center"/>
    </xf>
    <xf numFmtId="10" fontId="12" fillId="0" borderId="35" xfId="2" applyNumberFormat="1" applyFont="1" applyBorder="1" applyAlignment="1">
      <alignment vertical="center"/>
    </xf>
    <xf numFmtId="3" fontId="12" fillId="0" borderId="35" xfId="2" applyNumberFormat="1" applyFont="1" applyBorder="1" applyAlignment="1">
      <alignment vertical="center"/>
    </xf>
    <xf numFmtId="0" fontId="12" fillId="0" borderId="35" xfId="2" applyFont="1" applyBorder="1" applyAlignment="1">
      <alignment vertical="center"/>
    </xf>
    <xf numFmtId="2" fontId="12" fillId="0" borderId="0" xfId="2" applyNumberFormat="1" applyFont="1" applyAlignment="1">
      <alignment vertical="center"/>
    </xf>
    <xf numFmtId="1" fontId="12" fillId="0" borderId="34" xfId="2" applyNumberFormat="1" applyFont="1" applyBorder="1" applyAlignment="1">
      <alignment vertical="center"/>
    </xf>
    <xf numFmtId="1" fontId="12" fillId="0" borderId="35" xfId="2" applyNumberFormat="1" applyFont="1" applyBorder="1" applyAlignment="1">
      <alignment vertical="center"/>
    </xf>
    <xf numFmtId="0" fontId="17" fillId="0" borderId="37" xfId="0" applyFont="1" applyBorder="1"/>
    <xf numFmtId="0" fontId="3" fillId="0" borderId="37" xfId="0" applyFont="1" applyBorder="1"/>
    <xf numFmtId="0" fontId="18" fillId="0" borderId="37" xfId="0" applyFont="1" applyBorder="1"/>
    <xf numFmtId="0" fontId="17" fillId="0" borderId="38" xfId="0" applyFont="1" applyBorder="1"/>
    <xf numFmtId="0" fontId="17" fillId="0" borderId="39" xfId="0" applyFont="1" applyBorder="1"/>
    <xf numFmtId="0" fontId="18" fillId="4" borderId="1" xfId="0" applyFont="1" applyFill="1" applyBorder="1"/>
    <xf numFmtId="0" fontId="17" fillId="0" borderId="1" xfId="0" applyFont="1" applyBorder="1"/>
    <xf numFmtId="0" fontId="12" fillId="0" borderId="0" xfId="2" applyFont="1" applyAlignment="1">
      <alignment horizontal="left" vertical="center"/>
    </xf>
    <xf numFmtId="21" fontId="0" fillId="0" borderId="0" xfId="0" applyNumberFormat="1"/>
    <xf numFmtId="0" fontId="18" fillId="0" borderId="39" xfId="0" applyFont="1" applyBorder="1"/>
    <xf numFmtId="3" fontId="12" fillId="0" borderId="31" xfId="2" applyNumberFormat="1" applyFont="1" applyBorder="1" applyAlignment="1">
      <alignment vertical="center"/>
    </xf>
    <xf numFmtId="3" fontId="12" fillId="5" borderId="36" xfId="2" applyNumberFormat="1" applyFont="1" applyFill="1" applyBorder="1" applyAlignment="1">
      <alignment vertical="center"/>
    </xf>
    <xf numFmtId="0" fontId="2" fillId="2" borderId="0" xfId="1" applyFont="1" applyFill="1"/>
    <xf numFmtId="0" fontId="2" fillId="2" borderId="0" xfId="1" applyFont="1" applyFill="1" applyAlignment="1">
      <alignment horizontal="center" vertical="top" wrapText="1"/>
    </xf>
    <xf numFmtId="0" fontId="2" fillId="8" borderId="14" xfId="1" applyFont="1" applyFill="1" applyBorder="1" applyAlignment="1">
      <alignment vertical="top" wrapText="1"/>
    </xf>
    <xf numFmtId="0" fontId="4" fillId="2" borderId="0" xfId="1" applyFont="1" applyFill="1"/>
    <xf numFmtId="10" fontId="2" fillId="2" borderId="0" xfId="1" applyNumberFormat="1" applyFont="1" applyFill="1"/>
    <xf numFmtId="21" fontId="2" fillId="2" borderId="0" xfId="1" applyNumberFormat="1" applyFont="1" applyFill="1" applyAlignment="1">
      <alignment vertical="top" wrapText="1"/>
    </xf>
    <xf numFmtId="0" fontId="2" fillId="2" borderId="0" xfId="1" applyFont="1" applyFill="1" applyAlignment="1">
      <alignment vertical="top" wrapText="1"/>
    </xf>
    <xf numFmtId="0" fontId="2" fillId="8" borderId="4" xfId="1" applyFont="1" applyFill="1" applyBorder="1" applyAlignment="1">
      <alignment vertical="top" wrapText="1"/>
    </xf>
    <xf numFmtId="0" fontId="2" fillId="8" borderId="5" xfId="1" applyFont="1" applyFill="1" applyBorder="1" applyAlignment="1">
      <alignment vertical="top" wrapText="1"/>
    </xf>
    <xf numFmtId="0" fontId="2" fillId="8" borderId="44" xfId="1" applyFont="1" applyFill="1" applyBorder="1" applyAlignment="1">
      <alignment vertical="top" wrapText="1"/>
    </xf>
    <xf numFmtId="10" fontId="2" fillId="8" borderId="4" xfId="1" applyNumberFormat="1" applyFont="1" applyFill="1" applyBorder="1" applyAlignment="1">
      <alignment vertical="top" wrapText="1"/>
    </xf>
    <xf numFmtId="21" fontId="2" fillId="8" borderId="28" xfId="1" applyNumberFormat="1" applyFont="1" applyFill="1" applyBorder="1" applyAlignment="1">
      <alignment vertical="top" wrapText="1"/>
    </xf>
    <xf numFmtId="0" fontId="2" fillId="2" borderId="1" xfId="1" applyFont="1" applyFill="1" applyBorder="1"/>
    <xf numFmtId="3" fontId="2" fillId="9" borderId="1" xfId="1" applyNumberFormat="1" applyFont="1" applyFill="1" applyBorder="1" applyAlignment="1">
      <alignment horizontal="right" vertical="top"/>
    </xf>
    <xf numFmtId="0" fontId="2" fillId="9" borderId="1" xfId="1" applyFont="1" applyFill="1" applyBorder="1" applyAlignment="1">
      <alignment horizontal="right" vertical="top"/>
    </xf>
    <xf numFmtId="3" fontId="2" fillId="9" borderId="12" xfId="1" applyNumberFormat="1" applyFont="1" applyFill="1" applyBorder="1" applyAlignment="1">
      <alignment horizontal="right" vertical="top"/>
    </xf>
    <xf numFmtId="10" fontId="2" fillId="9" borderId="1" xfId="1" applyNumberFormat="1" applyFont="1" applyFill="1" applyBorder="1" applyAlignment="1">
      <alignment horizontal="right" vertical="top"/>
    </xf>
    <xf numFmtId="10" fontId="2" fillId="9" borderId="15" xfId="1" applyNumberFormat="1" applyFont="1" applyFill="1" applyBorder="1" applyAlignment="1">
      <alignment horizontal="right" vertical="top"/>
    </xf>
    <xf numFmtId="10" fontId="2" fillId="9" borderId="12" xfId="1" applyNumberFormat="1" applyFont="1" applyFill="1" applyBorder="1" applyAlignment="1">
      <alignment horizontal="right" vertical="top"/>
    </xf>
    <xf numFmtId="10" fontId="2" fillId="9" borderId="42" xfId="1" applyNumberFormat="1" applyFont="1" applyFill="1" applyBorder="1" applyAlignment="1">
      <alignment horizontal="right" vertical="top"/>
    </xf>
    <xf numFmtId="10" fontId="2" fillId="7" borderId="46" xfId="1" applyNumberFormat="1" applyFont="1" applyFill="1" applyBorder="1" applyAlignment="1">
      <alignment horizontal="right" vertical="top"/>
    </xf>
    <xf numFmtId="10" fontId="2" fillId="7" borderId="47" xfId="1" applyNumberFormat="1" applyFont="1" applyFill="1" applyBorder="1" applyAlignment="1">
      <alignment horizontal="right" vertical="top"/>
    </xf>
    <xf numFmtId="3" fontId="2" fillId="9" borderId="43" xfId="1" applyNumberFormat="1" applyFont="1" applyFill="1" applyBorder="1" applyAlignment="1">
      <alignment horizontal="right" vertical="top"/>
    </xf>
    <xf numFmtId="3" fontId="2" fillId="9" borderId="13" xfId="1" applyNumberFormat="1" applyFont="1" applyFill="1" applyBorder="1" applyAlignment="1">
      <alignment horizontal="right" vertical="top"/>
    </xf>
    <xf numFmtId="3" fontId="2" fillId="9" borderId="15" xfId="1" applyNumberFormat="1" applyFont="1" applyFill="1" applyBorder="1" applyAlignment="1">
      <alignment horizontal="right" vertical="top"/>
    </xf>
    <xf numFmtId="3" fontId="2" fillId="9" borderId="42" xfId="1" applyNumberFormat="1" applyFont="1" applyFill="1" applyBorder="1" applyAlignment="1">
      <alignment horizontal="right" vertical="top"/>
    </xf>
    <xf numFmtId="166" fontId="2" fillId="9" borderId="43" xfId="1" applyNumberFormat="1" applyFont="1" applyFill="1" applyBorder="1" applyAlignment="1">
      <alignment horizontal="right" vertical="top"/>
    </xf>
    <xf numFmtId="166" fontId="2" fillId="9" borderId="13" xfId="1" applyNumberFormat="1" applyFont="1" applyFill="1" applyBorder="1" applyAlignment="1">
      <alignment horizontal="right" vertical="top"/>
    </xf>
    <xf numFmtId="9" fontId="2" fillId="9" borderId="1" xfId="1" applyNumberFormat="1" applyFont="1" applyFill="1" applyBorder="1" applyAlignment="1">
      <alignment horizontal="right" vertical="top"/>
    </xf>
    <xf numFmtId="9" fontId="2" fillId="9" borderId="15" xfId="1" applyNumberFormat="1" applyFont="1" applyFill="1" applyBorder="1" applyAlignment="1">
      <alignment horizontal="right" vertical="top"/>
    </xf>
    <xf numFmtId="9" fontId="2" fillId="9" borderId="1" xfId="1" applyNumberFormat="1" applyFont="1" applyFill="1" applyBorder="1" applyAlignment="1">
      <alignment horizontal="right" vertical="top" wrapText="1"/>
    </xf>
    <xf numFmtId="9" fontId="2" fillId="9" borderId="15" xfId="1" applyNumberFormat="1" applyFont="1" applyFill="1" applyBorder="1" applyAlignment="1">
      <alignment horizontal="right" vertical="top" wrapText="1"/>
    </xf>
    <xf numFmtId="9" fontId="2" fillId="9" borderId="17" xfId="1" applyNumberFormat="1" applyFont="1" applyFill="1" applyBorder="1" applyAlignment="1">
      <alignment horizontal="right" vertical="top" wrapText="1"/>
    </xf>
    <xf numFmtId="0" fontId="2" fillId="7" borderId="48" xfId="1" applyFont="1" applyFill="1" applyBorder="1" applyAlignment="1">
      <alignment horizontal="center" vertical="center" wrapText="1"/>
    </xf>
    <xf numFmtId="0" fontId="2" fillId="7" borderId="46" xfId="1" applyFont="1" applyFill="1" applyBorder="1" applyAlignment="1">
      <alignment horizontal="center" vertical="center" wrapText="1"/>
    </xf>
    <xf numFmtId="0" fontId="2" fillId="8" borderId="51" xfId="1" applyFont="1" applyFill="1" applyBorder="1" applyAlignment="1">
      <alignment vertical="top" wrapText="1"/>
    </xf>
    <xf numFmtId="0" fontId="2" fillId="8" borderId="52" xfId="1" applyFont="1" applyFill="1" applyBorder="1" applyAlignment="1">
      <alignment vertical="top" wrapText="1"/>
    </xf>
    <xf numFmtId="0" fontId="2" fillId="8" borderId="53" xfId="1" applyFont="1" applyFill="1" applyBorder="1" applyAlignment="1">
      <alignment vertical="top" wrapText="1"/>
    </xf>
    <xf numFmtId="3" fontId="2" fillId="9" borderId="4" xfId="1" applyNumberFormat="1" applyFont="1" applyFill="1" applyBorder="1" applyAlignment="1">
      <alignment horizontal="right" vertical="top"/>
    </xf>
    <xf numFmtId="3" fontId="2" fillId="9" borderId="44" xfId="1" applyNumberFormat="1" applyFont="1" applyFill="1" applyBorder="1" applyAlignment="1">
      <alignment horizontal="right" vertical="top"/>
    </xf>
    <xf numFmtId="0" fontId="2" fillId="8" borderId="50" xfId="1" applyFont="1" applyFill="1" applyBorder="1" applyAlignment="1">
      <alignment vertical="top" wrapText="1"/>
    </xf>
    <xf numFmtId="0" fontId="2" fillId="9" borderId="5" xfId="1" applyFont="1" applyFill="1" applyBorder="1" applyAlignment="1">
      <alignment horizontal="right" vertical="top"/>
    </xf>
    <xf numFmtId="0" fontId="2" fillId="9" borderId="4" xfId="1" applyFont="1" applyFill="1" applyBorder="1" applyAlignment="1">
      <alignment horizontal="right" vertical="top"/>
    </xf>
    <xf numFmtId="10" fontId="2" fillId="9" borderId="4" xfId="1" applyNumberFormat="1" applyFont="1" applyFill="1" applyBorder="1" applyAlignment="1">
      <alignment horizontal="right" vertical="top"/>
    </xf>
    <xf numFmtId="10" fontId="2" fillId="9" borderId="44" xfId="1" applyNumberFormat="1" applyFont="1" applyFill="1" applyBorder="1" applyAlignment="1">
      <alignment horizontal="right" vertical="top"/>
    </xf>
    <xf numFmtId="10" fontId="2" fillId="7" borderId="48" xfId="1" applyNumberFormat="1" applyFont="1" applyFill="1" applyBorder="1" applyAlignment="1">
      <alignment horizontal="right" vertical="top"/>
    </xf>
    <xf numFmtId="0" fontId="2" fillId="7" borderId="40" xfId="1" applyFont="1" applyFill="1" applyBorder="1" applyAlignment="1">
      <alignment vertical="top" wrapText="1"/>
    </xf>
    <xf numFmtId="3" fontId="2" fillId="9" borderId="5" xfId="1" applyNumberFormat="1" applyFont="1" applyFill="1" applyBorder="1" applyAlignment="1">
      <alignment horizontal="right" vertical="top"/>
    </xf>
    <xf numFmtId="0" fontId="2" fillId="8" borderId="54" xfId="1" applyFont="1" applyFill="1" applyBorder="1" applyAlignment="1">
      <alignment vertical="top" wrapText="1"/>
    </xf>
    <xf numFmtId="0" fontId="2" fillId="8" borderId="27" xfId="1" applyFont="1" applyFill="1" applyBorder="1" applyAlignment="1">
      <alignment vertical="top" wrapText="1"/>
    </xf>
    <xf numFmtId="0" fontId="2" fillId="8" borderId="55" xfId="1" applyFont="1" applyFill="1" applyBorder="1" applyAlignment="1">
      <alignment vertical="top" wrapText="1"/>
    </xf>
    <xf numFmtId="3" fontId="2" fillId="9" borderId="30" xfId="1" applyNumberFormat="1" applyFont="1" applyFill="1" applyBorder="1" applyAlignment="1">
      <alignment horizontal="right" vertical="top"/>
    </xf>
    <xf numFmtId="3" fontId="2" fillId="9" borderId="31" xfId="1" applyNumberFormat="1" applyFont="1" applyFill="1" applyBorder="1" applyAlignment="1">
      <alignment horizontal="right" vertical="top"/>
    </xf>
    <xf numFmtId="0" fontId="2" fillId="8" borderId="51" xfId="1" applyFont="1" applyFill="1" applyBorder="1" applyAlignment="1">
      <alignment horizontal="left" vertical="top" wrapText="1"/>
    </xf>
    <xf numFmtId="0" fontId="2" fillId="7" borderId="51" xfId="1" applyFont="1" applyFill="1" applyBorder="1" applyAlignment="1">
      <alignment vertical="top" wrapText="1"/>
    </xf>
    <xf numFmtId="0" fontId="2" fillId="8" borderId="23" xfId="1" applyFont="1" applyFill="1" applyBorder="1" applyAlignment="1">
      <alignment horizontal="center"/>
    </xf>
    <xf numFmtId="0" fontId="2" fillId="8" borderId="26" xfId="1" applyFont="1" applyFill="1" applyBorder="1" applyAlignment="1">
      <alignment horizontal="center"/>
    </xf>
    <xf numFmtId="0" fontId="2" fillId="7" borderId="56" xfId="1" applyFont="1" applyFill="1" applyBorder="1" applyAlignment="1">
      <alignment vertical="top" wrapText="1"/>
    </xf>
    <xf numFmtId="3" fontId="2" fillId="7" borderId="12" xfId="1" applyNumberFormat="1" applyFont="1" applyFill="1" applyBorder="1" applyAlignment="1">
      <alignment horizontal="right" vertical="top"/>
    </xf>
    <xf numFmtId="0" fontId="2" fillId="8" borderId="25" xfId="1" applyFont="1" applyFill="1" applyBorder="1" applyAlignment="1">
      <alignment vertical="top" wrapText="1"/>
    </xf>
    <xf numFmtId="0" fontId="2" fillId="7" borderId="47" xfId="1" applyFont="1" applyFill="1" applyBorder="1" applyAlignment="1">
      <alignment horizontal="center" vertical="center" wrapText="1"/>
    </xf>
    <xf numFmtId="9" fontId="2" fillId="7" borderId="48" xfId="1" applyNumberFormat="1" applyFont="1" applyFill="1" applyBorder="1" applyAlignment="1">
      <alignment horizontal="right" vertical="top"/>
    </xf>
    <xf numFmtId="9" fontId="2" fillId="7" borderId="46" xfId="1" applyNumberFormat="1" applyFont="1" applyFill="1" applyBorder="1" applyAlignment="1">
      <alignment horizontal="right" vertical="top"/>
    </xf>
    <xf numFmtId="9" fontId="2" fillId="7" borderId="47" xfId="1" applyNumberFormat="1" applyFont="1" applyFill="1" applyBorder="1" applyAlignment="1">
      <alignment horizontal="right" vertical="top"/>
    </xf>
    <xf numFmtId="3" fontId="2" fillId="7" borderId="45" xfId="1" applyNumberFormat="1" applyFont="1" applyFill="1" applyBorder="1" applyAlignment="1">
      <alignment horizontal="right" vertical="top"/>
    </xf>
    <xf numFmtId="3" fontId="2" fillId="7" borderId="46" xfId="1" applyNumberFormat="1" applyFont="1" applyFill="1" applyBorder="1" applyAlignment="1">
      <alignment horizontal="right" vertical="top"/>
    </xf>
    <xf numFmtId="3" fontId="2" fillId="7" borderId="47" xfId="1" applyNumberFormat="1" applyFont="1" applyFill="1" applyBorder="1" applyAlignment="1">
      <alignment horizontal="right" vertical="top"/>
    </xf>
    <xf numFmtId="3" fontId="2" fillId="7" borderId="4" xfId="1" applyNumberFormat="1" applyFont="1" applyFill="1" applyBorder="1" applyAlignment="1">
      <alignment horizontal="right" vertical="top"/>
    </xf>
    <xf numFmtId="3" fontId="2" fillId="7" borderId="1" xfId="1" applyNumberFormat="1" applyFont="1" applyFill="1" applyBorder="1" applyAlignment="1">
      <alignment horizontal="right" vertical="top"/>
    </xf>
    <xf numFmtId="3" fontId="2" fillId="7" borderId="15" xfId="1" applyNumberFormat="1" applyFont="1" applyFill="1" applyBorder="1" applyAlignment="1">
      <alignment horizontal="right" vertical="top"/>
    </xf>
    <xf numFmtId="9" fontId="2" fillId="9" borderId="17" xfId="1" applyNumberFormat="1" applyFont="1" applyFill="1" applyBorder="1" applyAlignment="1">
      <alignment horizontal="right" vertical="top"/>
    </xf>
    <xf numFmtId="9" fontId="2" fillId="9" borderId="18" xfId="1" applyNumberFormat="1" applyFont="1" applyFill="1" applyBorder="1" applyAlignment="1">
      <alignment horizontal="right" vertical="top"/>
    </xf>
    <xf numFmtId="2" fontId="2" fillId="9" borderId="33" xfId="1" applyNumberFormat="1" applyFont="1" applyFill="1" applyBorder="1" applyAlignment="1">
      <alignment horizontal="right" vertical="top"/>
    </xf>
    <xf numFmtId="2" fontId="2" fillId="9" borderId="30" xfId="1" applyNumberFormat="1" applyFont="1" applyFill="1" applyBorder="1" applyAlignment="1">
      <alignment horizontal="right" vertical="top"/>
    </xf>
    <xf numFmtId="2" fontId="2" fillId="9" borderId="31" xfId="1" applyNumberFormat="1" applyFont="1" applyFill="1" applyBorder="1" applyAlignment="1">
      <alignment horizontal="right" vertical="top"/>
    </xf>
    <xf numFmtId="0" fontId="2" fillId="8" borderId="29" xfId="1" applyFont="1" applyFill="1" applyBorder="1" applyAlignment="1">
      <alignment vertical="top" wrapText="1"/>
    </xf>
    <xf numFmtId="0" fontId="2" fillId="8" borderId="16" xfId="1" applyFont="1" applyFill="1" applyBorder="1" applyAlignment="1">
      <alignment vertical="top" wrapText="1"/>
    </xf>
    <xf numFmtId="3" fontId="2" fillId="9" borderId="17" xfId="1" applyNumberFormat="1" applyFont="1" applyFill="1" applyBorder="1" applyAlignment="1">
      <alignment horizontal="right" vertical="top"/>
    </xf>
    <xf numFmtId="3" fontId="2" fillId="9" borderId="18" xfId="1" applyNumberFormat="1" applyFont="1" applyFill="1" applyBorder="1" applyAlignment="1">
      <alignment horizontal="right" vertical="top"/>
    </xf>
    <xf numFmtId="0" fontId="2" fillId="5" borderId="40" xfId="1" applyFont="1" applyFill="1" applyBorder="1" applyAlignment="1">
      <alignment horizontal="center"/>
    </xf>
    <xf numFmtId="0" fontId="2" fillId="5" borderId="22" xfId="1" applyFont="1" applyFill="1" applyBorder="1" applyAlignment="1">
      <alignment horizontal="center"/>
    </xf>
    <xf numFmtId="0" fontId="2" fillId="5" borderId="2" xfId="1" applyFont="1" applyFill="1" applyBorder="1" applyAlignment="1">
      <alignment horizontal="center" vertical="top" wrapText="1"/>
    </xf>
    <xf numFmtId="0" fontId="2" fillId="5" borderId="12" xfId="1" applyFont="1" applyFill="1" applyBorder="1" applyAlignment="1">
      <alignment horizontal="center" vertical="top" wrapText="1"/>
    </xf>
    <xf numFmtId="0" fontId="2" fillId="5" borderId="1" xfId="1" applyFont="1" applyFill="1" applyBorder="1" applyAlignment="1">
      <alignment horizontal="center" vertical="top" wrapText="1"/>
    </xf>
    <xf numFmtId="0" fontId="2" fillId="7" borderId="12" xfId="1" applyFont="1" applyFill="1" applyBorder="1" applyAlignment="1">
      <alignment horizontal="center" vertical="center" wrapText="1"/>
    </xf>
    <xf numFmtId="0" fontId="2" fillId="7" borderId="1" xfId="1" applyFont="1" applyFill="1" applyBorder="1" applyAlignment="1">
      <alignment horizontal="center" vertical="center" wrapText="1"/>
    </xf>
    <xf numFmtId="0" fontId="2" fillId="8" borderId="54" xfId="1" applyFont="1" applyFill="1" applyBorder="1" applyAlignment="1">
      <alignment horizontal="left" vertical="top" wrapText="1"/>
    </xf>
    <xf numFmtId="0" fontId="2" fillId="7" borderId="22" xfId="1" applyFont="1" applyFill="1" applyBorder="1" applyAlignment="1">
      <alignment horizontal="left" vertical="top" wrapText="1"/>
    </xf>
    <xf numFmtId="0" fontId="2" fillId="7" borderId="4" xfId="1" applyFont="1" applyFill="1" applyBorder="1" applyAlignment="1">
      <alignment vertical="top" wrapText="1"/>
    </xf>
    <xf numFmtId="0" fontId="1" fillId="10" borderId="2" xfId="1" applyFill="1" applyBorder="1" applyAlignment="1">
      <alignment horizontal="left" vertical="top" wrapText="1" readingOrder="1"/>
    </xf>
    <xf numFmtId="0" fontId="2" fillId="9" borderId="58" xfId="1" applyFont="1" applyFill="1" applyBorder="1" applyAlignment="1">
      <alignment horizontal="right" vertical="top"/>
    </xf>
    <xf numFmtId="0" fontId="2" fillId="9" borderId="15" xfId="1" applyFont="1" applyFill="1" applyBorder="1" applyAlignment="1">
      <alignment horizontal="right" vertical="top"/>
    </xf>
    <xf numFmtId="3" fontId="2" fillId="7" borderId="42" xfId="1" applyNumberFormat="1" applyFont="1" applyFill="1" applyBorder="1" applyAlignment="1">
      <alignment horizontal="right" vertical="top"/>
    </xf>
    <xf numFmtId="0" fontId="1" fillId="0" borderId="0" xfId="1"/>
    <xf numFmtId="0" fontId="1" fillId="10" borderId="12" xfId="1" applyFill="1" applyBorder="1" applyAlignment="1">
      <alignment horizontal="left" vertical="top" wrapText="1" readingOrder="1"/>
    </xf>
    <xf numFmtId="0" fontId="1" fillId="10" borderId="1" xfId="1" applyFill="1" applyBorder="1" applyAlignment="1">
      <alignment horizontal="left" vertical="top" wrapText="1" readingOrder="1"/>
    </xf>
    <xf numFmtId="0" fontId="1" fillId="8" borderId="12" xfId="1" applyFill="1" applyBorder="1" applyAlignment="1">
      <alignment horizontal="left" vertical="center" wrapText="1"/>
    </xf>
    <xf numFmtId="0" fontId="1" fillId="8" borderId="1" xfId="1" applyFill="1" applyBorder="1" applyAlignment="1">
      <alignment horizontal="left" vertical="center" wrapText="1"/>
    </xf>
    <xf numFmtId="0" fontId="12" fillId="7" borderId="0" xfId="0" applyFont="1" applyFill="1" applyAlignment="1">
      <alignment vertical="center" wrapText="1"/>
    </xf>
    <xf numFmtId="0" fontId="11" fillId="0" borderId="0" xfId="0" applyFont="1" applyAlignment="1">
      <alignment vertical="center" wrapText="1"/>
    </xf>
    <xf numFmtId="0" fontId="0" fillId="0" borderId="0" xfId="0" applyAlignment="1">
      <alignment wrapText="1"/>
    </xf>
    <xf numFmtId="0" fontId="21" fillId="0" borderId="32" xfId="0" applyFont="1" applyBorder="1" applyAlignment="1">
      <alignment wrapText="1"/>
    </xf>
    <xf numFmtId="0" fontId="21" fillId="0" borderId="0" xfId="0" applyFont="1" applyAlignment="1">
      <alignment wrapText="1"/>
    </xf>
    <xf numFmtId="0" fontId="0" fillId="0" borderId="23" xfId="0" applyBorder="1" applyAlignment="1">
      <alignment wrapText="1"/>
    </xf>
    <xf numFmtId="0" fontId="1" fillId="0" borderId="37" xfId="0" applyFont="1" applyBorder="1"/>
    <xf numFmtId="0" fontId="17" fillId="0" borderId="59" xfId="0" applyFont="1" applyBorder="1"/>
    <xf numFmtId="0" fontId="1" fillId="0" borderId="39" xfId="0" applyFont="1" applyBorder="1"/>
    <xf numFmtId="0" fontId="23" fillId="0" borderId="0" xfId="3" applyFont="1" applyAlignment="1">
      <alignment wrapText="1"/>
    </xf>
    <xf numFmtId="0" fontId="12" fillId="6" borderId="14" xfId="2" applyFont="1" applyFill="1" applyBorder="1" applyAlignment="1">
      <alignment horizontal="left" vertical="center"/>
    </xf>
    <xf numFmtId="0" fontId="15" fillId="0" borderId="20" xfId="1" applyFont="1" applyBorder="1" applyAlignment="1">
      <alignment horizontal="center"/>
    </xf>
    <xf numFmtId="0" fontId="2" fillId="7" borderId="48" xfId="1" applyFont="1" applyFill="1" applyBorder="1" applyAlignment="1">
      <alignment horizontal="center" wrapText="1"/>
    </xf>
    <xf numFmtId="0" fontId="1" fillId="0" borderId="0" xfId="1" applyAlignment="1">
      <alignment horizontal="left"/>
    </xf>
    <xf numFmtId="49" fontId="1" fillId="0" borderId="0" xfId="1" applyNumberFormat="1" applyAlignment="1">
      <alignment horizontal="left"/>
    </xf>
    <xf numFmtId="0" fontId="1" fillId="0" borderId="0" xfId="1" applyAlignment="1">
      <alignment horizontal="center"/>
    </xf>
    <xf numFmtId="3" fontId="1" fillId="0" borderId="0" xfId="1" applyNumberFormat="1"/>
    <xf numFmtId="0" fontId="1" fillId="0" borderId="0" xfId="1" applyAlignment="1">
      <alignment vertical="center" wrapText="1"/>
    </xf>
    <xf numFmtId="164" fontId="1" fillId="0" borderId="0" xfId="1" applyNumberFormat="1"/>
    <xf numFmtId="0" fontId="1" fillId="0" borderId="20" xfId="1" applyBorder="1" applyAlignment="1">
      <alignment horizontal="center"/>
    </xf>
    <xf numFmtId="0" fontId="1" fillId="0" borderId="21" xfId="1" applyBorder="1" applyAlignment="1">
      <alignment horizontal="center"/>
    </xf>
    <xf numFmtId="0" fontId="1" fillId="0" borderId="22" xfId="1" applyBorder="1" applyAlignment="1">
      <alignment horizontal="center"/>
    </xf>
    <xf numFmtId="0" fontId="2" fillId="6" borderId="32" xfId="1" applyFont="1" applyFill="1" applyBorder="1" applyAlignment="1">
      <alignment horizontal="center" vertical="center" wrapText="1"/>
    </xf>
    <xf numFmtId="0" fontId="2" fillId="6" borderId="23" xfId="1" applyFont="1" applyFill="1" applyBorder="1" applyAlignment="1">
      <alignment horizontal="center" vertical="center" wrapText="1"/>
    </xf>
    <xf numFmtId="0" fontId="2" fillId="6" borderId="26" xfId="1" applyFont="1" applyFill="1" applyBorder="1" applyAlignment="1">
      <alignment horizontal="center" vertical="center" wrapText="1"/>
    </xf>
    <xf numFmtId="0" fontId="2" fillId="6" borderId="32" xfId="1" applyFont="1" applyFill="1" applyBorder="1" applyAlignment="1">
      <alignment horizontal="center" vertical="center"/>
    </xf>
    <xf numFmtId="0" fontId="2" fillId="6" borderId="23" xfId="1" applyFont="1" applyFill="1" applyBorder="1" applyAlignment="1">
      <alignment horizontal="center" vertical="center"/>
    </xf>
    <xf numFmtId="0" fontId="2" fillId="6" borderId="26" xfId="1" applyFont="1" applyFill="1" applyBorder="1" applyAlignment="1">
      <alignment horizontal="center" vertical="center"/>
    </xf>
    <xf numFmtId="0" fontId="2" fillId="6" borderId="14" xfId="1" applyFont="1" applyFill="1" applyBorder="1" applyAlignment="1">
      <alignment horizontal="left"/>
    </xf>
    <xf numFmtId="0" fontId="2" fillId="6" borderId="1" xfId="1" applyFont="1" applyFill="1" applyBorder="1" applyAlignment="1">
      <alignment horizontal="left"/>
    </xf>
    <xf numFmtId="0" fontId="12" fillId="6" borderId="14" xfId="2" applyFont="1" applyFill="1" applyBorder="1" applyAlignment="1">
      <alignment horizontal="left" vertical="center"/>
    </xf>
    <xf numFmtId="0" fontId="12" fillId="6" borderId="1" xfId="2" applyFont="1" applyFill="1" applyBorder="1" applyAlignment="1">
      <alignment horizontal="left" vertical="center"/>
    </xf>
    <xf numFmtId="0" fontId="2" fillId="5" borderId="16" xfId="1" applyFont="1" applyFill="1" applyBorder="1" applyAlignment="1">
      <alignment horizontal="left"/>
    </xf>
    <xf numFmtId="0" fontId="2" fillId="5" borderId="17" xfId="1" applyFont="1" applyFill="1" applyBorder="1" applyAlignment="1">
      <alignment horizontal="left"/>
    </xf>
    <xf numFmtId="0" fontId="14" fillId="5" borderId="20" xfId="1" applyFont="1" applyFill="1" applyBorder="1" applyAlignment="1">
      <alignment horizontal="center"/>
    </xf>
    <xf numFmtId="0" fontId="14" fillId="5" borderId="21" xfId="1" applyFont="1" applyFill="1" applyBorder="1" applyAlignment="1">
      <alignment horizontal="center"/>
    </xf>
    <xf numFmtId="0" fontId="14" fillId="5" borderId="22" xfId="1" applyFont="1" applyFill="1" applyBorder="1" applyAlignment="1">
      <alignment horizontal="center"/>
    </xf>
    <xf numFmtId="0" fontId="15" fillId="0" borderId="20" xfId="1" applyFont="1" applyBorder="1" applyAlignment="1">
      <alignment horizontal="center"/>
    </xf>
    <xf numFmtId="0" fontId="15" fillId="0" borderId="19" xfId="1" applyFont="1" applyBorder="1" applyAlignment="1">
      <alignment horizontal="center"/>
    </xf>
    <xf numFmtId="0" fontId="15" fillId="0" borderId="10" xfId="1" applyFont="1" applyBorder="1" applyAlignment="1">
      <alignment horizontal="center"/>
    </xf>
    <xf numFmtId="0" fontId="2" fillId="6" borderId="11" xfId="1" applyFont="1" applyFill="1" applyBorder="1" applyAlignment="1">
      <alignment horizontal="center" vertical="center" wrapText="1"/>
    </xf>
    <xf numFmtId="0" fontId="2" fillId="6" borderId="9" xfId="1" applyFont="1" applyFill="1" applyBorder="1" applyAlignment="1">
      <alignment horizontal="center" vertical="center" wrapText="1"/>
    </xf>
    <xf numFmtId="0" fontId="2" fillId="6" borderId="8" xfId="1" applyFont="1" applyFill="1" applyBorder="1" applyAlignment="1">
      <alignment horizontal="center" vertical="center" wrapText="1"/>
    </xf>
    <xf numFmtId="0" fontId="2" fillId="6" borderId="29" xfId="1" applyFont="1" applyFill="1" applyBorder="1" applyAlignment="1">
      <alignment horizontal="left"/>
    </xf>
    <xf numFmtId="0" fontId="2" fillId="6" borderId="30" xfId="1" applyFont="1" applyFill="1" applyBorder="1" applyAlignment="1">
      <alignment horizontal="left"/>
    </xf>
    <xf numFmtId="0" fontId="12" fillId="6" borderId="25" xfId="2" applyFont="1" applyFill="1" applyBorder="1" applyAlignment="1">
      <alignment horizontal="left" vertical="center"/>
    </xf>
    <xf numFmtId="0" fontId="12" fillId="6" borderId="4" xfId="2" applyFont="1" applyFill="1" applyBorder="1" applyAlignment="1">
      <alignment horizontal="left" vertical="center"/>
    </xf>
    <xf numFmtId="0" fontId="10" fillId="5" borderId="11" xfId="2" applyFont="1" applyFill="1" applyBorder="1" applyAlignment="1">
      <alignment horizontal="center" vertical="center"/>
    </xf>
    <xf numFmtId="0" fontId="10" fillId="5" borderId="19" xfId="2" applyFont="1" applyFill="1" applyBorder="1" applyAlignment="1">
      <alignment horizontal="center" vertical="center"/>
    </xf>
    <xf numFmtId="0" fontId="10" fillId="5" borderId="10" xfId="2" applyFont="1" applyFill="1" applyBorder="1" applyAlignment="1">
      <alignment horizontal="center" vertical="center"/>
    </xf>
    <xf numFmtId="0" fontId="10" fillId="5" borderId="8" xfId="2" applyFont="1" applyFill="1" applyBorder="1" applyAlignment="1">
      <alignment horizontal="center" vertical="center"/>
    </xf>
    <xf numFmtId="0" fontId="10" fillId="5" borderId="6" xfId="2" applyFont="1" applyFill="1" applyBorder="1" applyAlignment="1">
      <alignment horizontal="center" vertical="center"/>
    </xf>
    <xf numFmtId="0" fontId="10" fillId="5" borderId="7" xfId="2" applyFont="1" applyFill="1" applyBorder="1" applyAlignment="1">
      <alignment horizontal="center" vertical="center"/>
    </xf>
    <xf numFmtId="0" fontId="10" fillId="5" borderId="20" xfId="2" applyFont="1" applyFill="1" applyBorder="1" applyAlignment="1">
      <alignment horizontal="center" vertical="center"/>
    </xf>
    <xf numFmtId="0" fontId="10" fillId="5" borderId="21" xfId="2" applyFont="1" applyFill="1" applyBorder="1" applyAlignment="1">
      <alignment horizontal="center" vertical="center"/>
    </xf>
    <xf numFmtId="0" fontId="10" fillId="5" borderId="22" xfId="2" applyFont="1" applyFill="1" applyBorder="1" applyAlignment="1">
      <alignment horizontal="center" vertical="center"/>
    </xf>
    <xf numFmtId="0" fontId="12" fillId="6" borderId="23" xfId="2" applyFont="1" applyFill="1" applyBorder="1" applyAlignment="1">
      <alignment horizontal="center" vertical="center" wrapText="1"/>
    </xf>
    <xf numFmtId="0" fontId="12" fillId="6" borderId="26" xfId="2" applyFont="1" applyFill="1" applyBorder="1" applyAlignment="1">
      <alignment horizontal="center" vertical="center" wrapText="1"/>
    </xf>
    <xf numFmtId="0" fontId="12" fillId="6" borderId="24" xfId="2" applyFont="1" applyFill="1" applyBorder="1" applyAlignment="1">
      <alignment horizontal="left" vertical="center"/>
    </xf>
    <xf numFmtId="0" fontId="12" fillId="6" borderId="5" xfId="2" applyFont="1" applyFill="1" applyBorder="1" applyAlignment="1">
      <alignment horizontal="left" vertical="center"/>
    </xf>
    <xf numFmtId="0" fontId="12" fillId="6" borderId="27" xfId="2" applyFont="1" applyFill="1" applyBorder="1" applyAlignment="1">
      <alignment horizontal="left" vertical="center"/>
    </xf>
    <xf numFmtId="0" fontId="12" fillId="6" borderId="28" xfId="2" applyFont="1" applyFill="1" applyBorder="1" applyAlignment="1">
      <alignment horizontal="left" vertical="center"/>
    </xf>
    <xf numFmtId="0" fontId="2" fillId="7" borderId="11" xfId="1" applyFont="1" applyFill="1" applyBorder="1" applyAlignment="1">
      <alignment horizontal="center" vertical="center" wrapText="1"/>
    </xf>
    <xf numFmtId="0" fontId="2" fillId="7" borderId="19" xfId="1" applyFont="1" applyFill="1" applyBorder="1" applyAlignment="1">
      <alignment horizontal="center" vertical="center" wrapText="1"/>
    </xf>
    <xf numFmtId="0" fontId="2" fillId="7" borderId="10" xfId="1" applyFont="1" applyFill="1" applyBorder="1" applyAlignment="1">
      <alignment horizontal="center" vertical="center" wrapText="1"/>
    </xf>
    <xf numFmtId="0" fontId="2" fillId="7" borderId="8" xfId="1" applyFont="1" applyFill="1" applyBorder="1" applyAlignment="1">
      <alignment horizontal="center" vertical="center" wrapText="1"/>
    </xf>
    <xf numFmtId="0" fontId="2" fillId="7" borderId="6" xfId="1" applyFont="1" applyFill="1" applyBorder="1" applyAlignment="1">
      <alignment horizontal="center" vertical="center" wrapText="1"/>
    </xf>
    <xf numFmtId="0" fontId="2" fillId="7" borderId="7" xfId="1" applyFont="1" applyFill="1" applyBorder="1" applyAlignment="1">
      <alignment horizontal="center" vertical="center" wrapText="1"/>
    </xf>
    <xf numFmtId="3" fontId="2" fillId="9" borderId="25" xfId="1" applyNumberFormat="1" applyFont="1" applyFill="1" applyBorder="1" applyAlignment="1">
      <alignment horizontal="center"/>
    </xf>
    <xf numFmtId="3" fontId="2" fillId="9" borderId="4" xfId="1" applyNumberFormat="1" applyFont="1" applyFill="1" applyBorder="1" applyAlignment="1">
      <alignment horizontal="center"/>
    </xf>
    <xf numFmtId="1" fontId="2" fillId="9" borderId="25" xfId="1" applyNumberFormat="1" applyFont="1" applyFill="1" applyBorder="1" applyAlignment="1">
      <alignment horizontal="center"/>
    </xf>
    <xf numFmtId="1" fontId="2" fillId="9" borderId="4" xfId="1" applyNumberFormat="1" applyFont="1" applyFill="1" applyBorder="1" applyAlignment="1">
      <alignment horizontal="center"/>
    </xf>
    <xf numFmtId="0" fontId="2" fillId="3" borderId="20" xfId="1" applyFont="1" applyFill="1" applyBorder="1" applyAlignment="1">
      <alignment horizontal="center" vertical="top" wrapText="1"/>
    </xf>
    <xf numFmtId="0" fontId="2" fillId="3" borderId="48" xfId="1" applyFont="1" applyFill="1" applyBorder="1" applyAlignment="1">
      <alignment horizontal="center" vertical="top" wrapText="1"/>
    </xf>
    <xf numFmtId="0" fontId="2" fillId="3" borderId="49" xfId="1" applyFont="1" applyFill="1" applyBorder="1" applyAlignment="1">
      <alignment horizontal="center" vertical="top" wrapText="1"/>
    </xf>
    <xf numFmtId="0" fontId="2" fillId="3" borderId="21" xfId="1" applyFont="1" applyFill="1" applyBorder="1" applyAlignment="1">
      <alignment horizontal="center" vertical="top" wrapText="1"/>
    </xf>
    <xf numFmtId="0" fontId="2" fillId="3" borderId="22" xfId="1" applyFont="1" applyFill="1" applyBorder="1" applyAlignment="1">
      <alignment horizontal="center" vertical="top" wrapText="1"/>
    </xf>
    <xf numFmtId="0" fontId="2" fillId="7" borderId="20" xfId="1" applyFont="1" applyFill="1" applyBorder="1" applyAlignment="1">
      <alignment horizontal="center" vertical="top" wrapText="1"/>
    </xf>
    <xf numFmtId="0" fontId="2" fillId="7" borderId="22" xfId="1" applyFont="1" applyFill="1" applyBorder="1" applyAlignment="1">
      <alignment horizontal="center" vertical="top" wrapText="1"/>
    </xf>
    <xf numFmtId="0" fontId="2" fillId="8" borderId="20" xfId="1" applyFont="1" applyFill="1" applyBorder="1" applyAlignment="1">
      <alignment horizontal="center" vertical="top" wrapText="1"/>
    </xf>
    <xf numFmtId="0" fontId="2" fillId="8" borderId="21" xfId="1" applyFont="1" applyFill="1" applyBorder="1" applyAlignment="1">
      <alignment horizontal="center" vertical="top" wrapText="1"/>
    </xf>
    <xf numFmtId="0" fontId="2" fillId="8" borderId="22" xfId="1" applyFont="1" applyFill="1" applyBorder="1" applyAlignment="1">
      <alignment horizontal="center" vertical="top" wrapText="1"/>
    </xf>
    <xf numFmtId="0" fontId="2" fillId="0" borderId="20" xfId="1" applyFont="1" applyBorder="1" applyAlignment="1">
      <alignment horizontal="center" vertical="top" wrapText="1"/>
    </xf>
    <xf numFmtId="0" fontId="2" fillId="0" borderId="21" xfId="1" applyFont="1" applyBorder="1" applyAlignment="1">
      <alignment horizontal="center" vertical="top" wrapText="1"/>
    </xf>
    <xf numFmtId="0" fontId="2" fillId="0" borderId="22" xfId="1" applyFont="1" applyBorder="1" applyAlignment="1">
      <alignment horizontal="center" vertical="top" wrapText="1"/>
    </xf>
    <xf numFmtId="0" fontId="2" fillId="7" borderId="20" xfId="1" applyFont="1" applyFill="1" applyBorder="1" applyAlignment="1">
      <alignment horizontal="center" wrapText="1"/>
    </xf>
    <xf numFmtId="0" fontId="2" fillId="7" borderId="48" xfId="1" applyFont="1" applyFill="1" applyBorder="1" applyAlignment="1">
      <alignment horizontal="center" wrapText="1"/>
    </xf>
    <xf numFmtId="0" fontId="2" fillId="7" borderId="49" xfId="1" applyFont="1" applyFill="1" applyBorder="1" applyAlignment="1">
      <alignment horizontal="center"/>
    </xf>
    <xf numFmtId="0" fontId="2" fillId="7" borderId="48" xfId="1" applyFont="1" applyFill="1" applyBorder="1" applyAlignment="1">
      <alignment horizontal="center"/>
    </xf>
    <xf numFmtId="0" fontId="2" fillId="7" borderId="22" xfId="1" applyFont="1" applyFill="1" applyBorder="1" applyAlignment="1">
      <alignment horizontal="center"/>
    </xf>
    <xf numFmtId="0" fontId="2" fillId="8" borderId="55" xfId="1" applyFont="1" applyFill="1" applyBorder="1" applyAlignment="1">
      <alignment horizontal="center" vertical="top" wrapText="1"/>
    </xf>
    <xf numFmtId="0" fontId="2" fillId="8" borderId="33" xfId="1" applyFont="1" applyFill="1" applyBorder="1" applyAlignment="1">
      <alignment horizontal="center" vertical="top" wrapText="1"/>
    </xf>
    <xf numFmtId="0" fontId="2" fillId="8" borderId="41" xfId="1" applyFont="1" applyFill="1" applyBorder="1" applyAlignment="1">
      <alignment horizontal="center" vertical="top" wrapText="1"/>
    </xf>
    <xf numFmtId="0" fontId="2" fillId="8" borderId="34" xfId="1" applyFont="1" applyFill="1" applyBorder="1" applyAlignment="1">
      <alignment horizontal="center" vertical="top" wrapText="1"/>
    </xf>
    <xf numFmtId="0" fontId="2" fillId="8" borderId="32" xfId="1" applyFont="1" applyFill="1" applyBorder="1" applyAlignment="1">
      <alignment horizontal="center" vertical="center"/>
    </xf>
    <xf numFmtId="0" fontId="2" fillId="8" borderId="23" xfId="1" applyFont="1" applyFill="1" applyBorder="1" applyAlignment="1">
      <alignment horizontal="center" vertical="center"/>
    </xf>
    <xf numFmtId="0" fontId="2" fillId="8" borderId="26" xfId="1" applyFont="1" applyFill="1" applyBorder="1" applyAlignment="1">
      <alignment horizontal="center" vertical="center"/>
    </xf>
    <xf numFmtId="0" fontId="2" fillId="0" borderId="20" xfId="1" applyFont="1" applyBorder="1" applyAlignment="1">
      <alignment horizontal="center" vertical="center"/>
    </xf>
    <xf numFmtId="0" fontId="2" fillId="0" borderId="21" xfId="1" applyFont="1" applyBorder="1" applyAlignment="1">
      <alignment horizontal="center" vertical="center"/>
    </xf>
    <xf numFmtId="0" fontId="2" fillId="0" borderId="22" xfId="1" applyFont="1" applyBorder="1" applyAlignment="1">
      <alignment horizontal="center" vertical="center"/>
    </xf>
    <xf numFmtId="0" fontId="2" fillId="7" borderId="20" xfId="1" applyFont="1" applyFill="1" applyBorder="1" applyAlignment="1">
      <alignment horizontal="center" vertical="center" wrapText="1"/>
    </xf>
    <xf numFmtId="0" fontId="2" fillId="7" borderId="21" xfId="1" applyFont="1" applyFill="1" applyBorder="1" applyAlignment="1">
      <alignment horizontal="center" vertical="center" wrapText="1"/>
    </xf>
    <xf numFmtId="0" fontId="2" fillId="7" borderId="22" xfId="1" applyFont="1" applyFill="1" applyBorder="1" applyAlignment="1">
      <alignment horizontal="center" vertical="center" wrapText="1"/>
    </xf>
    <xf numFmtId="0" fontId="15" fillId="0" borderId="20"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2" fillId="0" borderId="20" xfId="1" applyFont="1" applyBorder="1" applyAlignment="1">
      <alignment horizontal="center"/>
    </xf>
    <xf numFmtId="0" fontId="2" fillId="0" borderId="21" xfId="1" applyFont="1" applyBorder="1" applyAlignment="1">
      <alignment horizontal="center"/>
    </xf>
    <xf numFmtId="0" fontId="2" fillId="0" borderId="22" xfId="1" applyFont="1" applyBorder="1" applyAlignment="1">
      <alignment horizontal="center"/>
    </xf>
    <xf numFmtId="3" fontId="2" fillId="9" borderId="25" xfId="1" applyNumberFormat="1" applyFont="1" applyFill="1" applyBorder="1" applyAlignment="1">
      <alignment horizontal="center" vertical="top"/>
    </xf>
    <xf numFmtId="3" fontId="2" fillId="9" borderId="4" xfId="1" applyNumberFormat="1" applyFont="1" applyFill="1" applyBorder="1" applyAlignment="1">
      <alignment horizontal="center" vertical="top"/>
    </xf>
    <xf numFmtId="3" fontId="2" fillId="9" borderId="3" xfId="1" applyNumberFormat="1" applyFont="1" applyFill="1" applyBorder="1" applyAlignment="1">
      <alignment horizontal="center"/>
    </xf>
    <xf numFmtId="3" fontId="2" fillId="9" borderId="35" xfId="1" applyNumberFormat="1" applyFont="1" applyFill="1" applyBorder="1" applyAlignment="1">
      <alignment horizontal="center"/>
    </xf>
    <xf numFmtId="1" fontId="2" fillId="9" borderId="3" xfId="1" applyNumberFormat="1" applyFont="1" applyFill="1" applyBorder="1" applyAlignment="1">
      <alignment horizontal="center"/>
    </xf>
    <xf numFmtId="1" fontId="2" fillId="9" borderId="35" xfId="1" applyNumberFormat="1" applyFont="1" applyFill="1" applyBorder="1" applyAlignment="1">
      <alignment horizontal="center"/>
    </xf>
    <xf numFmtId="9" fontId="2" fillId="9" borderId="57" xfId="1" applyNumberFormat="1" applyFont="1" applyFill="1" applyBorder="1" applyAlignment="1">
      <alignment horizontal="center"/>
    </xf>
    <xf numFmtId="9" fontId="2" fillId="9" borderId="28" xfId="1" applyNumberFormat="1" applyFont="1" applyFill="1" applyBorder="1" applyAlignment="1">
      <alignment horizontal="center"/>
    </xf>
    <xf numFmtId="9" fontId="2" fillId="9" borderId="36" xfId="1" applyNumberFormat="1" applyFont="1" applyFill="1" applyBorder="1" applyAlignment="1">
      <alignment horizontal="center"/>
    </xf>
    <xf numFmtId="9" fontId="2" fillId="9" borderId="55" xfId="1" applyNumberFormat="1" applyFont="1" applyFill="1" applyBorder="1" applyAlignment="1">
      <alignment horizontal="center" vertical="top"/>
    </xf>
    <xf numFmtId="9" fontId="2" fillId="9" borderId="33" xfId="1" applyNumberFormat="1" applyFont="1" applyFill="1" applyBorder="1" applyAlignment="1">
      <alignment horizontal="center" vertical="top"/>
    </xf>
    <xf numFmtId="9" fontId="2" fillId="9" borderId="27" xfId="1" applyNumberFormat="1" applyFont="1" applyFill="1" applyBorder="1" applyAlignment="1">
      <alignment horizontal="center"/>
    </xf>
    <xf numFmtId="0" fontId="2" fillId="7" borderId="21" xfId="1" applyFont="1" applyFill="1" applyBorder="1" applyAlignment="1">
      <alignment horizontal="center" vertical="top" wrapText="1"/>
    </xf>
    <xf numFmtId="0" fontId="2" fillId="0" borderId="11" xfId="1" applyFont="1" applyBorder="1" applyAlignment="1">
      <alignment horizontal="center"/>
    </xf>
    <xf numFmtId="0" fontId="2" fillId="0" borderId="19" xfId="1" applyFont="1" applyBorder="1" applyAlignment="1">
      <alignment horizontal="center"/>
    </xf>
    <xf numFmtId="0" fontId="2" fillId="8" borderId="32" xfId="1" applyFont="1" applyFill="1" applyBorder="1" applyAlignment="1">
      <alignment horizontal="center" vertical="center" wrapText="1"/>
    </xf>
    <xf numFmtId="0" fontId="2" fillId="8" borderId="23" xfId="1" applyFont="1" applyFill="1" applyBorder="1" applyAlignment="1">
      <alignment horizontal="center" vertical="center" wrapText="1"/>
    </xf>
    <xf numFmtId="0" fontId="2" fillId="8" borderId="26" xfId="1" applyFont="1" applyFill="1" applyBorder="1" applyAlignment="1">
      <alignment horizontal="center" vertical="center" wrapText="1"/>
    </xf>
    <xf numFmtId="0" fontId="2" fillId="8" borderId="32" xfId="1" applyFont="1" applyFill="1" applyBorder="1" applyAlignment="1">
      <alignment horizontal="center" vertical="top" wrapText="1"/>
    </xf>
    <xf numFmtId="0" fontId="2" fillId="8" borderId="23" xfId="1" applyFont="1" applyFill="1" applyBorder="1" applyAlignment="1">
      <alignment horizontal="center" vertical="top" wrapText="1"/>
    </xf>
    <xf numFmtId="0" fontId="2" fillId="8" borderId="26" xfId="1" applyFont="1" applyFill="1" applyBorder="1" applyAlignment="1">
      <alignment horizontal="center" vertical="top" wrapText="1"/>
    </xf>
    <xf numFmtId="9" fontId="2" fillId="9" borderId="34" xfId="1" applyNumberFormat="1" applyFont="1" applyFill="1" applyBorder="1" applyAlignment="1">
      <alignment horizontal="center" vertical="top"/>
    </xf>
    <xf numFmtId="3" fontId="2" fillId="9" borderId="35" xfId="1" applyNumberFormat="1" applyFont="1" applyFill="1" applyBorder="1" applyAlignment="1">
      <alignment horizontal="center" vertical="top"/>
    </xf>
  </cellXfs>
  <cellStyles count="4">
    <cellStyle name="Normal" xfId="0" builtinId="0"/>
    <cellStyle name="Normal 2" xfId="1" xr:uid="{00000000-0005-0000-0000-000001000000}"/>
    <cellStyle name="Normal 2 2 2" xfId="3" xr:uid="{F7BDB6DB-1E83-4E6E-ABE3-05DE99B0D3DB}"/>
    <cellStyle name="Normal 5"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eyaca/Desktop/Docs/PnS/SizingSheets/SAM/SAM_SizingComparison_Measurement_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 Front Page"/>
      <sheetName val="Quick Sizing"/>
      <sheetName val="Advanced Sizing"/>
      <sheetName val="Data"/>
      <sheetName val="Instructions"/>
      <sheetName val="Notes"/>
      <sheetName val="Comparison-93Vs94"/>
      <sheetName val="RawDataCollection-9.4"/>
      <sheetName val="Temp-scratch94"/>
    </sheetNames>
    <sheetDataSet>
      <sheetData sheetId="0" refreshError="1"/>
      <sheetData sheetId="1" refreshError="1"/>
      <sheetData sheetId="2" refreshError="1"/>
      <sheetData sheetId="3">
        <row r="43">
          <cell r="C43">
            <v>4</v>
          </cell>
        </row>
        <row r="44">
          <cell r="C44">
            <v>4</v>
          </cell>
        </row>
      </sheetData>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60*H7+@sum(H8:H9)"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if(b46%3e0,B49*8/B46,0)" TargetMode="External"/><Relationship Id="rId1" Type="http://schemas.openxmlformats.org/officeDocument/2006/relationships/hyperlink" Target="mailto:=@if(b46%3e0,B49*8/B46,0)"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B7"/>
  <sheetViews>
    <sheetView workbookViewId="0">
      <selection activeCell="A7" sqref="A7"/>
    </sheetView>
  </sheetViews>
  <sheetFormatPr defaultColWidth="8.85546875" defaultRowHeight="15" x14ac:dyDescent="0.25"/>
  <cols>
    <col min="1" max="1" width="109" customWidth="1"/>
    <col min="2" max="2" width="52.7109375" style="164" customWidth="1"/>
    <col min="3" max="3" width="8.85546875" customWidth="1"/>
    <col min="257" max="257" width="109" customWidth="1"/>
    <col min="258" max="258" width="52.7109375" customWidth="1"/>
    <col min="259" max="259" width="8.85546875" customWidth="1"/>
    <col min="513" max="513" width="109" customWidth="1"/>
    <col min="514" max="514" width="52.7109375" customWidth="1"/>
    <col min="515" max="515" width="8.85546875" customWidth="1"/>
    <col min="769" max="769" width="109" customWidth="1"/>
    <col min="770" max="770" width="52.7109375" customWidth="1"/>
    <col min="771" max="771" width="8.85546875" customWidth="1"/>
    <col min="1025" max="1025" width="109" customWidth="1"/>
    <col min="1026" max="1026" width="52.7109375" customWidth="1"/>
    <col min="1027" max="1027" width="8.85546875" customWidth="1"/>
    <col min="1281" max="1281" width="109" customWidth="1"/>
    <col min="1282" max="1282" width="52.7109375" customWidth="1"/>
    <col min="1283" max="1283" width="8.85546875" customWidth="1"/>
    <col min="1537" max="1537" width="109" customWidth="1"/>
    <col min="1538" max="1538" width="52.7109375" customWidth="1"/>
    <col min="1539" max="1539" width="8.85546875" customWidth="1"/>
    <col min="1793" max="1793" width="109" customWidth="1"/>
    <col min="1794" max="1794" width="52.7109375" customWidth="1"/>
    <col min="1795" max="1795" width="8.85546875" customWidth="1"/>
    <col min="2049" max="2049" width="109" customWidth="1"/>
    <col min="2050" max="2050" width="52.7109375" customWidth="1"/>
    <col min="2051" max="2051" width="8.85546875" customWidth="1"/>
    <col min="2305" max="2305" width="109" customWidth="1"/>
    <col min="2306" max="2306" width="52.7109375" customWidth="1"/>
    <col min="2307" max="2307" width="8.85546875" customWidth="1"/>
    <col min="2561" max="2561" width="109" customWidth="1"/>
    <col min="2562" max="2562" width="52.7109375" customWidth="1"/>
    <col min="2563" max="2563" width="8.85546875" customWidth="1"/>
    <col min="2817" max="2817" width="109" customWidth="1"/>
    <col min="2818" max="2818" width="52.7109375" customWidth="1"/>
    <col min="2819" max="2819" width="8.85546875" customWidth="1"/>
    <col min="3073" max="3073" width="109" customWidth="1"/>
    <col min="3074" max="3074" width="52.7109375" customWidth="1"/>
    <col min="3075" max="3075" width="8.85546875" customWidth="1"/>
    <col min="3329" max="3329" width="109" customWidth="1"/>
    <col min="3330" max="3330" width="52.7109375" customWidth="1"/>
    <col min="3331" max="3331" width="8.85546875" customWidth="1"/>
    <col min="3585" max="3585" width="109" customWidth="1"/>
    <col min="3586" max="3586" width="52.7109375" customWidth="1"/>
    <col min="3587" max="3587" width="8.85546875" customWidth="1"/>
    <col min="3841" max="3841" width="109" customWidth="1"/>
    <col min="3842" max="3842" width="52.7109375" customWidth="1"/>
    <col min="3843" max="3843" width="8.85546875" customWidth="1"/>
    <col min="4097" max="4097" width="109" customWidth="1"/>
    <col min="4098" max="4098" width="52.7109375" customWidth="1"/>
    <col min="4099" max="4099" width="8.85546875" customWidth="1"/>
    <col min="4353" max="4353" width="109" customWidth="1"/>
    <col min="4354" max="4354" width="52.7109375" customWidth="1"/>
    <col min="4355" max="4355" width="8.85546875" customWidth="1"/>
    <col min="4609" max="4609" width="109" customWidth="1"/>
    <col min="4610" max="4610" width="52.7109375" customWidth="1"/>
    <col min="4611" max="4611" width="8.85546875" customWidth="1"/>
    <col min="4865" max="4865" width="109" customWidth="1"/>
    <col min="4866" max="4866" width="52.7109375" customWidth="1"/>
    <col min="4867" max="4867" width="8.85546875" customWidth="1"/>
    <col min="5121" max="5121" width="109" customWidth="1"/>
    <col min="5122" max="5122" width="52.7109375" customWidth="1"/>
    <col min="5123" max="5123" width="8.85546875" customWidth="1"/>
    <col min="5377" max="5377" width="109" customWidth="1"/>
    <col min="5378" max="5378" width="52.7109375" customWidth="1"/>
    <col min="5379" max="5379" width="8.85546875" customWidth="1"/>
    <col min="5633" max="5633" width="109" customWidth="1"/>
    <col min="5634" max="5634" width="52.7109375" customWidth="1"/>
    <col min="5635" max="5635" width="8.85546875" customWidth="1"/>
    <col min="5889" max="5889" width="109" customWidth="1"/>
    <col min="5890" max="5890" width="52.7109375" customWidth="1"/>
    <col min="5891" max="5891" width="8.85546875" customWidth="1"/>
    <col min="6145" max="6145" width="109" customWidth="1"/>
    <col min="6146" max="6146" width="52.7109375" customWidth="1"/>
    <col min="6147" max="6147" width="8.85546875" customWidth="1"/>
    <col min="6401" max="6401" width="109" customWidth="1"/>
    <col min="6402" max="6402" width="52.7109375" customWidth="1"/>
    <col min="6403" max="6403" width="8.85546875" customWidth="1"/>
    <col min="6657" max="6657" width="109" customWidth="1"/>
    <col min="6658" max="6658" width="52.7109375" customWidth="1"/>
    <col min="6659" max="6659" width="8.85546875" customWidth="1"/>
    <col min="6913" max="6913" width="109" customWidth="1"/>
    <col min="6914" max="6914" width="52.7109375" customWidth="1"/>
    <col min="6915" max="6915" width="8.85546875" customWidth="1"/>
    <col min="7169" max="7169" width="109" customWidth="1"/>
    <col min="7170" max="7170" width="52.7109375" customWidth="1"/>
    <col min="7171" max="7171" width="8.85546875" customWidth="1"/>
    <col min="7425" max="7425" width="109" customWidth="1"/>
    <col min="7426" max="7426" width="52.7109375" customWidth="1"/>
    <col min="7427" max="7427" width="8.85546875" customWidth="1"/>
    <col min="7681" max="7681" width="109" customWidth="1"/>
    <col min="7682" max="7682" width="52.7109375" customWidth="1"/>
    <col min="7683" max="7683" width="8.85546875" customWidth="1"/>
    <col min="7937" max="7937" width="109" customWidth="1"/>
    <col min="7938" max="7938" width="52.7109375" customWidth="1"/>
    <col min="7939" max="7939" width="8.85546875" customWidth="1"/>
    <col min="8193" max="8193" width="109" customWidth="1"/>
    <col min="8194" max="8194" width="52.7109375" customWidth="1"/>
    <col min="8195" max="8195" width="8.85546875" customWidth="1"/>
    <col min="8449" max="8449" width="109" customWidth="1"/>
    <col min="8450" max="8450" width="52.7109375" customWidth="1"/>
    <col min="8451" max="8451" width="8.85546875" customWidth="1"/>
    <col min="8705" max="8705" width="109" customWidth="1"/>
    <col min="8706" max="8706" width="52.7109375" customWidth="1"/>
    <col min="8707" max="8707" width="8.85546875" customWidth="1"/>
    <col min="8961" max="8961" width="109" customWidth="1"/>
    <col min="8962" max="8962" width="52.7109375" customWidth="1"/>
    <col min="8963" max="8963" width="8.85546875" customWidth="1"/>
    <col min="9217" max="9217" width="109" customWidth="1"/>
    <col min="9218" max="9218" width="52.7109375" customWidth="1"/>
    <col min="9219" max="9219" width="8.85546875" customWidth="1"/>
    <col min="9473" max="9473" width="109" customWidth="1"/>
    <col min="9474" max="9474" width="52.7109375" customWidth="1"/>
    <col min="9475" max="9475" width="8.85546875" customWidth="1"/>
    <col min="9729" max="9729" width="109" customWidth="1"/>
    <col min="9730" max="9730" width="52.7109375" customWidth="1"/>
    <col min="9731" max="9731" width="8.85546875" customWidth="1"/>
    <col min="9985" max="9985" width="109" customWidth="1"/>
    <col min="9986" max="9986" width="52.7109375" customWidth="1"/>
    <col min="9987" max="9987" width="8.85546875" customWidth="1"/>
    <col min="10241" max="10241" width="109" customWidth="1"/>
    <col min="10242" max="10242" width="52.7109375" customWidth="1"/>
    <col min="10243" max="10243" width="8.85546875" customWidth="1"/>
    <col min="10497" max="10497" width="109" customWidth="1"/>
    <col min="10498" max="10498" width="52.7109375" customWidth="1"/>
    <col min="10499" max="10499" width="8.85546875" customWidth="1"/>
    <col min="10753" max="10753" width="109" customWidth="1"/>
    <col min="10754" max="10754" width="52.7109375" customWidth="1"/>
    <col min="10755" max="10755" width="8.85546875" customWidth="1"/>
    <col min="11009" max="11009" width="109" customWidth="1"/>
    <col min="11010" max="11010" width="52.7109375" customWidth="1"/>
    <col min="11011" max="11011" width="8.85546875" customWidth="1"/>
    <col min="11265" max="11265" width="109" customWidth="1"/>
    <col min="11266" max="11266" width="52.7109375" customWidth="1"/>
    <col min="11267" max="11267" width="8.85546875" customWidth="1"/>
    <col min="11521" max="11521" width="109" customWidth="1"/>
    <col min="11522" max="11522" width="52.7109375" customWidth="1"/>
    <col min="11523" max="11523" width="8.85546875" customWidth="1"/>
    <col min="11777" max="11777" width="109" customWidth="1"/>
    <col min="11778" max="11778" width="52.7109375" customWidth="1"/>
    <col min="11779" max="11779" width="8.85546875" customWidth="1"/>
    <col min="12033" max="12033" width="109" customWidth="1"/>
    <col min="12034" max="12034" width="52.7109375" customWidth="1"/>
    <col min="12035" max="12035" width="8.85546875" customWidth="1"/>
    <col min="12289" max="12289" width="109" customWidth="1"/>
    <col min="12290" max="12290" width="52.7109375" customWidth="1"/>
    <col min="12291" max="12291" width="8.85546875" customWidth="1"/>
    <col min="12545" max="12545" width="109" customWidth="1"/>
    <col min="12546" max="12546" width="52.7109375" customWidth="1"/>
    <col min="12547" max="12547" width="8.85546875" customWidth="1"/>
    <col min="12801" max="12801" width="109" customWidth="1"/>
    <col min="12802" max="12802" width="52.7109375" customWidth="1"/>
    <col min="12803" max="12803" width="8.85546875" customWidth="1"/>
    <col min="13057" max="13057" width="109" customWidth="1"/>
    <col min="13058" max="13058" width="52.7109375" customWidth="1"/>
    <col min="13059" max="13059" width="8.85546875" customWidth="1"/>
    <col min="13313" max="13313" width="109" customWidth="1"/>
    <col min="13314" max="13314" width="52.7109375" customWidth="1"/>
    <col min="13315" max="13315" width="8.85546875" customWidth="1"/>
    <col min="13569" max="13569" width="109" customWidth="1"/>
    <col min="13570" max="13570" width="52.7109375" customWidth="1"/>
    <col min="13571" max="13571" width="8.85546875" customWidth="1"/>
    <col min="13825" max="13825" width="109" customWidth="1"/>
    <col min="13826" max="13826" width="52.7109375" customWidth="1"/>
    <col min="13827" max="13827" width="8.85546875" customWidth="1"/>
    <col min="14081" max="14081" width="109" customWidth="1"/>
    <col min="14082" max="14082" width="52.7109375" customWidth="1"/>
    <col min="14083" max="14083" width="8.85546875" customWidth="1"/>
    <col min="14337" max="14337" width="109" customWidth="1"/>
    <col min="14338" max="14338" width="52.7109375" customWidth="1"/>
    <col min="14339" max="14339" width="8.85546875" customWidth="1"/>
    <col min="14593" max="14593" width="109" customWidth="1"/>
    <col min="14594" max="14594" width="52.7109375" customWidth="1"/>
    <col min="14595" max="14595" width="8.85546875" customWidth="1"/>
    <col min="14849" max="14849" width="109" customWidth="1"/>
    <col min="14850" max="14850" width="52.7109375" customWidth="1"/>
    <col min="14851" max="14851" width="8.85546875" customWidth="1"/>
    <col min="15105" max="15105" width="109" customWidth="1"/>
    <col min="15106" max="15106" width="52.7109375" customWidth="1"/>
    <col min="15107" max="15107" width="8.85546875" customWidth="1"/>
    <col min="15361" max="15361" width="109" customWidth="1"/>
    <col min="15362" max="15362" width="52.7109375" customWidth="1"/>
    <col min="15363" max="15363" width="8.85546875" customWidth="1"/>
    <col min="15617" max="15617" width="109" customWidth="1"/>
    <col min="15618" max="15618" width="52.7109375" customWidth="1"/>
    <col min="15619" max="15619" width="8.85546875" customWidth="1"/>
    <col min="15873" max="15873" width="109" customWidth="1"/>
    <col min="15874" max="15874" width="52.7109375" customWidth="1"/>
    <col min="15875" max="15875" width="8.85546875" customWidth="1"/>
    <col min="16129" max="16129" width="109" customWidth="1"/>
    <col min="16130" max="16130" width="52.7109375" customWidth="1"/>
    <col min="16131" max="16131" width="8.85546875" customWidth="1"/>
  </cols>
  <sheetData>
    <row r="4" spans="1:2" ht="15.75" thickBot="1" x14ac:dyDescent="0.3"/>
    <row r="5" spans="1:2" ht="37.5" x14ac:dyDescent="0.3">
      <c r="A5" s="165" t="s">
        <v>184</v>
      </c>
      <c r="B5" s="166"/>
    </row>
    <row r="6" spans="1:2" x14ac:dyDescent="0.25">
      <c r="A6" s="167"/>
    </row>
    <row r="7" spans="1:2" ht="45" x14ac:dyDescent="0.25">
      <c r="A7" s="171" t="s">
        <v>187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71"/>
  <sheetViews>
    <sheetView tabSelected="1" zoomScale="110" zoomScaleNormal="110" workbookViewId="0">
      <selection activeCell="B85" sqref="B85"/>
    </sheetView>
  </sheetViews>
  <sheetFormatPr defaultColWidth="9.140625" defaultRowHeight="12.75" outlineLevelRow="1" x14ac:dyDescent="0.2"/>
  <cols>
    <col min="1" max="1" width="29.28515625" style="4" customWidth="1"/>
    <col min="2" max="2" width="30.85546875" style="4" customWidth="1"/>
    <col min="3" max="3" width="41.28515625" style="4" customWidth="1"/>
    <col min="4" max="4" width="22.7109375" style="4" customWidth="1"/>
    <col min="5" max="5" width="21" style="4" bestFit="1" customWidth="1"/>
    <col min="6" max="6" width="22.7109375" style="4" customWidth="1"/>
    <col min="7" max="7" width="29.85546875" style="4" customWidth="1"/>
    <col min="8" max="8" width="14.42578125" style="4" customWidth="1"/>
    <col min="9" max="9" width="8.140625" style="4" bestFit="1" customWidth="1"/>
    <col min="10" max="10" width="5.42578125" style="4" customWidth="1"/>
    <col min="11" max="11" width="9.28515625" style="4" customWidth="1"/>
    <col min="12" max="12" width="9.85546875" style="4" customWidth="1"/>
    <col min="13" max="13" width="9.42578125" style="4" customWidth="1"/>
    <col min="14" max="14" width="12.7109375" style="4" customWidth="1"/>
    <col min="15" max="15" width="9.28515625" style="4" customWidth="1"/>
    <col min="16" max="16" width="10.85546875" style="4" customWidth="1"/>
    <col min="17" max="17" width="12.85546875" style="4" customWidth="1"/>
    <col min="18" max="18" width="12.42578125" style="4" customWidth="1"/>
    <col min="19" max="19" width="10.140625" style="4" customWidth="1"/>
    <col min="20" max="16384" width="9.140625" style="4"/>
  </cols>
  <sheetData>
    <row r="1" spans="1:20" ht="15" x14ac:dyDescent="0.2">
      <c r="A1" s="209" t="s">
        <v>180</v>
      </c>
      <c r="B1" s="210"/>
      <c r="C1" s="210"/>
      <c r="D1" s="211"/>
      <c r="E1" s="5"/>
      <c r="F1" s="175"/>
      <c r="G1" s="176"/>
      <c r="H1" s="176"/>
      <c r="I1" s="176"/>
      <c r="J1" s="157"/>
      <c r="K1" s="157"/>
      <c r="L1" s="157"/>
      <c r="M1" s="157"/>
      <c r="N1" s="157"/>
      <c r="O1" s="157"/>
      <c r="P1" s="157"/>
      <c r="Q1" s="157"/>
      <c r="R1" s="157"/>
      <c r="S1" s="157"/>
      <c r="T1" s="177"/>
    </row>
    <row r="2" spans="1:20" ht="15.75" thickBot="1" x14ac:dyDescent="0.25">
      <c r="A2" s="212"/>
      <c r="B2" s="213"/>
      <c r="C2" s="213"/>
      <c r="D2" s="214"/>
      <c r="E2" s="5"/>
      <c r="F2" s="6"/>
      <c r="G2" s="6"/>
      <c r="H2" s="7"/>
      <c r="I2" s="8"/>
      <c r="J2" s="157"/>
      <c r="K2" s="157"/>
      <c r="L2" s="157"/>
      <c r="M2" s="157"/>
      <c r="N2" s="157"/>
      <c r="O2" s="157"/>
      <c r="P2" s="157"/>
      <c r="Q2" s="157"/>
      <c r="R2" s="157"/>
      <c r="S2" s="157"/>
      <c r="T2" s="177"/>
    </row>
    <row r="3" spans="1:20" ht="13.5" thickBot="1" x14ac:dyDescent="0.25">
      <c r="A3" s="182"/>
      <c r="B3" s="182"/>
      <c r="C3" s="182"/>
      <c r="D3" s="182"/>
      <c r="E3" s="157"/>
      <c r="F3" s="157"/>
      <c r="G3" s="157"/>
      <c r="H3" s="157"/>
      <c r="I3" s="157"/>
      <c r="J3" s="157"/>
      <c r="K3" s="157"/>
      <c r="L3" s="157"/>
      <c r="M3" s="157"/>
      <c r="N3" s="157"/>
      <c r="O3" s="157"/>
      <c r="P3" s="157"/>
      <c r="Q3" s="157"/>
      <c r="R3" s="157"/>
      <c r="S3" s="157"/>
      <c r="T3" s="157"/>
    </row>
    <row r="4" spans="1:20" ht="15.75" thickBot="1" x14ac:dyDescent="0.25">
      <c r="A4" s="215" t="s">
        <v>0</v>
      </c>
      <c r="B4" s="216"/>
      <c r="C4" s="216"/>
      <c r="D4" s="217"/>
      <c r="E4" s="157"/>
      <c r="F4" s="9"/>
      <c r="G4" s="9"/>
      <c r="H4" s="9"/>
      <c r="I4" s="9"/>
      <c r="J4" s="157"/>
      <c r="K4" s="157"/>
      <c r="L4" s="157"/>
      <c r="M4" s="157"/>
      <c r="N4" s="157"/>
      <c r="O4" s="157"/>
      <c r="P4" s="157"/>
      <c r="Q4" s="157"/>
      <c r="R4" s="157"/>
      <c r="S4" s="157"/>
      <c r="T4" s="157"/>
    </row>
    <row r="5" spans="1:20" x14ac:dyDescent="0.2">
      <c r="A5" s="218" t="s">
        <v>1</v>
      </c>
      <c r="B5" s="220" t="s">
        <v>2</v>
      </c>
      <c r="C5" s="221"/>
      <c r="D5" s="10"/>
      <c r="E5" s="157"/>
      <c r="F5" s="59"/>
      <c r="G5" s="59"/>
      <c r="H5" s="59"/>
      <c r="I5" s="178"/>
      <c r="J5" s="157"/>
      <c r="K5" s="157"/>
      <c r="L5" s="157"/>
      <c r="M5" s="157"/>
      <c r="N5" s="157"/>
      <c r="O5" s="157"/>
      <c r="P5" s="157"/>
      <c r="Q5" s="157"/>
      <c r="R5" s="157"/>
      <c r="S5" s="157"/>
      <c r="T5" s="157"/>
    </row>
    <row r="6" spans="1:20" x14ac:dyDescent="0.2">
      <c r="A6" s="218"/>
      <c r="B6" s="207" t="s">
        <v>3</v>
      </c>
      <c r="C6" s="208"/>
      <c r="D6" s="11"/>
      <c r="E6" s="12" t="str">
        <f>IF(I12&gt;I11,"too few Switches for the # of Hosts!","")</f>
        <v/>
      </c>
      <c r="F6" s="59"/>
      <c r="G6" s="59"/>
      <c r="H6" s="59"/>
      <c r="I6" s="178"/>
      <c r="J6" s="157"/>
      <c r="K6" s="157"/>
      <c r="L6" s="157"/>
      <c r="M6" s="157"/>
      <c r="N6" s="157"/>
      <c r="O6" s="157"/>
      <c r="P6" s="157"/>
      <c r="Q6" s="157"/>
      <c r="R6" s="157"/>
      <c r="S6" s="157"/>
      <c r="T6" s="157"/>
    </row>
    <row r="7" spans="1:20" x14ac:dyDescent="0.2">
      <c r="A7" s="218"/>
      <c r="B7" s="207" t="s">
        <v>4</v>
      </c>
      <c r="C7" s="208"/>
      <c r="D7" s="11"/>
      <c r="E7" s="179"/>
      <c r="F7" s="59"/>
      <c r="G7" s="59"/>
      <c r="H7" s="59"/>
      <c r="I7" s="178"/>
      <c r="J7" s="157"/>
      <c r="K7" s="157"/>
      <c r="L7" s="157"/>
      <c r="M7" s="157"/>
      <c r="N7" s="157"/>
      <c r="O7" s="157"/>
      <c r="P7" s="157"/>
      <c r="Q7" s="157"/>
      <c r="R7" s="157"/>
      <c r="S7" s="157"/>
      <c r="T7" s="157"/>
    </row>
    <row r="8" spans="1:20" x14ac:dyDescent="0.2">
      <c r="A8" s="218"/>
      <c r="B8" s="207" t="s">
        <v>5</v>
      </c>
      <c r="C8" s="208"/>
      <c r="D8" s="11"/>
      <c r="E8" s="157"/>
      <c r="F8" s="59"/>
      <c r="G8" s="59"/>
      <c r="H8" s="59"/>
      <c r="I8" s="178"/>
      <c r="J8" s="157"/>
      <c r="K8" s="157"/>
      <c r="L8" s="157"/>
      <c r="M8" s="157"/>
      <c r="N8" s="157"/>
      <c r="O8" s="157"/>
      <c r="P8" s="157"/>
      <c r="Q8" s="157"/>
      <c r="R8" s="157"/>
      <c r="S8" s="157"/>
      <c r="T8" s="157"/>
    </row>
    <row r="9" spans="1:20" x14ac:dyDescent="0.2">
      <c r="A9" s="218"/>
      <c r="B9" s="207" t="s">
        <v>6</v>
      </c>
      <c r="C9" s="208"/>
      <c r="D9" s="11">
        <v>60</v>
      </c>
      <c r="E9" s="157"/>
      <c r="F9" s="59"/>
      <c r="G9" s="59"/>
      <c r="H9" s="59"/>
      <c r="I9" s="59"/>
      <c r="J9" s="157"/>
      <c r="K9" s="157"/>
      <c r="L9" s="157"/>
      <c r="M9" s="157"/>
      <c r="N9" s="157"/>
      <c r="O9" s="157"/>
      <c r="P9" s="157"/>
      <c r="Q9" s="157"/>
      <c r="R9" s="157"/>
      <c r="S9" s="157"/>
      <c r="T9" s="157"/>
    </row>
    <row r="10" spans="1:20" x14ac:dyDescent="0.2">
      <c r="A10" s="218"/>
      <c r="B10" s="207" t="s">
        <v>7</v>
      </c>
      <c r="C10" s="208"/>
      <c r="D10" s="11">
        <v>120</v>
      </c>
      <c r="E10" s="157"/>
      <c r="F10" s="59"/>
      <c r="G10" s="59"/>
      <c r="H10" s="59"/>
      <c r="I10" s="59"/>
      <c r="J10" s="157"/>
      <c r="K10" s="157"/>
      <c r="L10" s="157"/>
      <c r="M10" s="157"/>
      <c r="N10" s="157"/>
      <c r="O10" s="157"/>
      <c r="P10" s="157"/>
      <c r="Q10" s="157"/>
      <c r="R10" s="157"/>
      <c r="S10" s="157"/>
      <c r="T10" s="157"/>
    </row>
    <row r="11" spans="1:20" x14ac:dyDescent="0.2">
      <c r="A11" s="218"/>
      <c r="B11" s="207" t="s">
        <v>8</v>
      </c>
      <c r="C11" s="208"/>
      <c r="D11" s="11">
        <v>240</v>
      </c>
      <c r="E11" s="157"/>
      <c r="F11" s="59"/>
      <c r="G11" s="59"/>
      <c r="H11" s="59"/>
      <c r="I11" s="59"/>
      <c r="J11" s="157"/>
      <c r="K11" s="157"/>
      <c r="L11" s="157"/>
      <c r="M11" s="157"/>
      <c r="N11" s="157"/>
      <c r="O11" s="157"/>
      <c r="P11" s="157"/>
      <c r="Q11" s="157"/>
      <c r="R11" s="157"/>
      <c r="S11" s="157"/>
      <c r="T11" s="157"/>
    </row>
    <row r="12" spans="1:20" x14ac:dyDescent="0.2">
      <c r="A12" s="218"/>
      <c r="B12" s="207" t="s">
        <v>9</v>
      </c>
      <c r="C12" s="208"/>
      <c r="D12" s="11"/>
      <c r="E12" s="157"/>
      <c r="F12" s="59"/>
      <c r="G12" s="59"/>
      <c r="H12" s="59"/>
      <c r="I12" s="59"/>
      <c r="J12" s="157"/>
      <c r="K12" s="157"/>
      <c r="L12" s="157"/>
      <c r="M12" s="157"/>
      <c r="N12" s="157"/>
      <c r="O12" s="157"/>
      <c r="P12" s="157"/>
      <c r="Q12" s="157"/>
      <c r="R12" s="157"/>
      <c r="S12" s="157"/>
      <c r="T12" s="157"/>
    </row>
    <row r="13" spans="1:20" x14ac:dyDescent="0.2">
      <c r="A13" s="218"/>
      <c r="B13" s="207" t="s">
        <v>10</v>
      </c>
      <c r="C13" s="208"/>
      <c r="D13" s="14">
        <v>0</v>
      </c>
      <c r="E13" s="157"/>
      <c r="F13" s="59"/>
      <c r="G13" s="59"/>
      <c r="H13" s="59"/>
      <c r="I13" s="59"/>
      <c r="J13" s="157"/>
      <c r="K13" s="157"/>
      <c r="L13" s="157"/>
      <c r="M13" s="157"/>
      <c r="N13" s="157"/>
      <c r="O13" s="157"/>
      <c r="P13" s="157"/>
      <c r="Q13" s="157"/>
      <c r="R13" s="157"/>
      <c r="S13" s="157"/>
      <c r="T13" s="157"/>
    </row>
    <row r="14" spans="1:20" x14ac:dyDescent="0.2">
      <c r="A14" s="218"/>
      <c r="B14" s="207" t="s">
        <v>11</v>
      </c>
      <c r="C14" s="208"/>
      <c r="D14" s="15">
        <v>6</v>
      </c>
      <c r="E14" s="157"/>
      <c r="F14" s="59"/>
      <c r="G14" s="59"/>
      <c r="H14" s="59"/>
      <c r="I14" s="59"/>
      <c r="J14" s="157"/>
      <c r="K14" s="157"/>
      <c r="L14" s="157"/>
      <c r="M14" s="157"/>
      <c r="N14" s="157"/>
      <c r="O14" s="157"/>
      <c r="P14" s="157"/>
      <c r="Q14" s="157"/>
      <c r="R14" s="157"/>
      <c r="S14" s="157"/>
      <c r="T14" s="157"/>
    </row>
    <row r="15" spans="1:20" ht="13.5" thickBot="1" x14ac:dyDescent="0.25">
      <c r="A15" s="219"/>
      <c r="B15" s="222" t="s">
        <v>12</v>
      </c>
      <c r="C15" s="223"/>
      <c r="D15" s="16" t="s">
        <v>13</v>
      </c>
      <c r="E15" s="157"/>
      <c r="F15" s="59"/>
      <c r="G15" s="59"/>
      <c r="H15" s="59"/>
      <c r="I15" s="59"/>
      <c r="J15" s="157"/>
      <c r="K15" s="157"/>
      <c r="L15" s="157"/>
      <c r="M15" s="157"/>
      <c r="N15" s="157"/>
      <c r="O15" s="157"/>
      <c r="P15" s="157"/>
      <c r="Q15" s="157"/>
      <c r="R15" s="157"/>
      <c r="S15" s="157"/>
      <c r="T15" s="157"/>
    </row>
    <row r="16" spans="1:20" ht="13.5" thickBot="1" x14ac:dyDescent="0.25">
      <c r="A16" s="181"/>
      <c r="B16" s="182"/>
      <c r="C16" s="182"/>
      <c r="D16" s="183"/>
      <c r="E16" s="157"/>
      <c r="F16" s="59"/>
      <c r="G16" s="59"/>
      <c r="H16" s="59"/>
      <c r="I16" s="59"/>
      <c r="J16" s="157"/>
      <c r="K16" s="157"/>
      <c r="L16" s="157"/>
      <c r="M16" s="157"/>
      <c r="N16" s="157"/>
      <c r="O16" s="157"/>
      <c r="P16" s="157"/>
      <c r="Q16" s="157"/>
      <c r="R16" s="157"/>
      <c r="S16" s="157"/>
      <c r="T16" s="157"/>
    </row>
    <row r="17" spans="1:10" ht="15.75" thickBot="1" x14ac:dyDescent="0.3">
      <c r="A17" s="196" t="s">
        <v>14</v>
      </c>
      <c r="B17" s="197"/>
      <c r="C17" s="197"/>
      <c r="D17" s="198"/>
      <c r="E17" s="17"/>
      <c r="F17" s="59"/>
      <c r="G17" s="59"/>
      <c r="H17" s="59"/>
      <c r="I17" s="59"/>
      <c r="J17" s="157"/>
    </row>
    <row r="18" spans="1:10" ht="13.5" thickBot="1" x14ac:dyDescent="0.25">
      <c r="A18" s="199" t="s">
        <v>15</v>
      </c>
      <c r="B18" s="200"/>
      <c r="C18" s="200"/>
      <c r="D18" s="201"/>
      <c r="E18" s="18"/>
      <c r="F18" s="59"/>
      <c r="G18" s="59"/>
      <c r="H18" s="59"/>
      <c r="I18" s="59"/>
      <c r="J18" s="157"/>
    </row>
    <row r="19" spans="1:10" ht="12.75" hidden="1" customHeight="1" outlineLevel="1" x14ac:dyDescent="0.2">
      <c r="A19" s="202" t="s">
        <v>16</v>
      </c>
      <c r="B19" s="205" t="s">
        <v>17</v>
      </c>
      <c r="C19" s="206"/>
      <c r="D19" s="19">
        <f>CEILING(D5*(1+$D$13)^$D$12,1)</f>
        <v>0</v>
      </c>
      <c r="E19" s="18"/>
      <c r="F19" s="59"/>
      <c r="G19" s="59"/>
      <c r="H19" s="59"/>
      <c r="I19" s="59"/>
      <c r="J19" s="157"/>
    </row>
    <row r="20" spans="1:10" ht="12.75" hidden="1" customHeight="1" outlineLevel="1" x14ac:dyDescent="0.2">
      <c r="A20" s="203"/>
      <c r="B20" s="207" t="s">
        <v>3</v>
      </c>
      <c r="C20" s="208"/>
      <c r="D20" s="20">
        <f>CEILING(D6*(1+$D$13)^$D$12,1)</f>
        <v>0</v>
      </c>
      <c r="E20" s="18"/>
      <c r="F20" s="59"/>
      <c r="G20" s="59"/>
      <c r="H20" s="59"/>
      <c r="I20" s="59"/>
      <c r="J20" s="157"/>
    </row>
    <row r="21" spans="1:10" ht="12.75" hidden="1" customHeight="1" outlineLevel="1" x14ac:dyDescent="0.2">
      <c r="A21" s="203"/>
      <c r="B21" s="190" t="s">
        <v>4</v>
      </c>
      <c r="C21" s="191"/>
      <c r="D21" s="20">
        <f>D7*(1+$D$13)^$D$12</f>
        <v>0</v>
      </c>
      <c r="E21" s="18"/>
      <c r="F21" s="59"/>
      <c r="G21" s="59"/>
      <c r="H21" s="59"/>
      <c r="I21" s="59"/>
      <c r="J21" s="157"/>
    </row>
    <row r="22" spans="1:10" ht="12.75" hidden="1" customHeight="1" outlineLevel="1" x14ac:dyDescent="0.2">
      <c r="A22" s="203"/>
      <c r="B22" s="190" t="s">
        <v>5</v>
      </c>
      <c r="C22" s="191"/>
      <c r="D22" s="20">
        <f>D8*(1+$D$13)^$D$12</f>
        <v>0</v>
      </c>
      <c r="E22" s="18"/>
      <c r="F22" s="59"/>
      <c r="G22" s="59"/>
      <c r="H22" s="59"/>
      <c r="I22" s="59"/>
      <c r="J22" s="157"/>
    </row>
    <row r="23" spans="1:10" ht="12.75" hidden="1" customHeight="1" outlineLevel="1" x14ac:dyDescent="0.2">
      <c r="A23" s="203"/>
      <c r="B23" s="190" t="s">
        <v>18</v>
      </c>
      <c r="C23" s="191"/>
      <c r="D23" s="20">
        <f>10*D19+SUM(D20:D22)</f>
        <v>0</v>
      </c>
      <c r="E23" s="18"/>
      <c r="F23" s="59"/>
      <c r="G23" s="59"/>
      <c r="H23" s="59"/>
      <c r="I23" s="59"/>
      <c r="J23" s="157"/>
    </row>
    <row r="24" spans="1:10" ht="12.75" hidden="1" customHeight="1" outlineLevel="1" x14ac:dyDescent="0.2">
      <c r="A24" s="203"/>
      <c r="B24" s="190" t="s">
        <v>19</v>
      </c>
      <c r="C24" s="191"/>
      <c r="D24" s="20">
        <f>20*D19+SUM(D20:D22)</f>
        <v>0</v>
      </c>
      <c r="E24" s="18"/>
      <c r="F24" s="59"/>
      <c r="G24" s="59"/>
      <c r="H24" s="59"/>
      <c r="I24" s="59"/>
      <c r="J24" s="157"/>
    </row>
    <row r="25" spans="1:10" ht="12.75" hidden="1" customHeight="1" outlineLevel="1" x14ac:dyDescent="0.2">
      <c r="A25" s="203"/>
      <c r="B25" s="190" t="s">
        <v>20</v>
      </c>
      <c r="C25" s="191"/>
      <c r="D25" s="20">
        <f>60*D20+SUM(D21:D22)</f>
        <v>0</v>
      </c>
      <c r="E25" s="18"/>
      <c r="F25" s="59"/>
      <c r="G25" s="59"/>
      <c r="H25" s="59"/>
      <c r="I25" s="59"/>
      <c r="J25" s="157"/>
    </row>
    <row r="26" spans="1:10" ht="12.75" hidden="1" customHeight="1" outlineLevel="1" x14ac:dyDescent="0.2">
      <c r="A26" s="203"/>
      <c r="B26" s="190" t="s">
        <v>21</v>
      </c>
      <c r="C26" s="191"/>
      <c r="D26" s="20">
        <f>D20*60*0.06+SUM(D21:D22)</f>
        <v>0</v>
      </c>
      <c r="E26" s="18"/>
      <c r="F26" s="59"/>
      <c r="G26" s="59"/>
      <c r="H26" s="59"/>
      <c r="I26" s="59"/>
      <c r="J26" s="157"/>
    </row>
    <row r="27" spans="1:10" ht="12.75" hidden="1" customHeight="1" outlineLevel="1" x14ac:dyDescent="0.2">
      <c r="A27" s="203"/>
      <c r="B27" s="192" t="s">
        <v>22</v>
      </c>
      <c r="C27" s="193"/>
      <c r="D27" s="20">
        <f>D24*0.9</f>
        <v>0</v>
      </c>
      <c r="E27" s="18"/>
      <c r="F27" s="59"/>
      <c r="G27" s="59"/>
      <c r="H27" s="59"/>
      <c r="I27" s="59"/>
      <c r="J27" s="157"/>
    </row>
    <row r="28" spans="1:10" ht="13.5" collapsed="1" thickBot="1" x14ac:dyDescent="0.25">
      <c r="A28" s="204"/>
      <c r="B28" s="194" t="s">
        <v>23</v>
      </c>
      <c r="C28" s="195"/>
      <c r="D28" s="21">
        <f>SUM(D26+D27)</f>
        <v>0</v>
      </c>
      <c r="E28" s="18"/>
      <c r="F28" s="59"/>
      <c r="G28" s="59"/>
      <c r="H28" s="59"/>
      <c r="I28" s="59"/>
      <c r="J28" s="157"/>
    </row>
    <row r="29" spans="1:10" ht="13.5" thickBot="1" x14ac:dyDescent="0.25">
      <c r="A29" s="173"/>
      <c r="B29" s="22"/>
      <c r="C29" s="22"/>
      <c r="D29" s="23"/>
      <c r="E29" s="18"/>
      <c r="F29" s="59"/>
      <c r="G29" s="59"/>
      <c r="H29" s="59"/>
      <c r="I29" s="59"/>
      <c r="J29" s="157"/>
    </row>
    <row r="30" spans="1:10" ht="12.75" hidden="1" customHeight="1" outlineLevel="1" x14ac:dyDescent="0.2">
      <c r="A30" s="187" t="s">
        <v>24</v>
      </c>
      <c r="B30" s="187" t="s">
        <v>25</v>
      </c>
      <c r="C30" s="24" t="s">
        <v>26</v>
      </c>
      <c r="D30" s="62">
        <f>SUM(D27)*VLOOKUP(D15,Memory,3)/1024</f>
        <v>0</v>
      </c>
      <c r="E30" s="13"/>
      <c r="F30" s="59"/>
      <c r="G30" s="59"/>
      <c r="H30" s="59"/>
      <c r="I30" s="59"/>
      <c r="J30" s="157"/>
    </row>
    <row r="31" spans="1:10" ht="12.75" hidden="1" customHeight="1" outlineLevel="1" x14ac:dyDescent="0.2">
      <c r="A31" s="188"/>
      <c r="B31" s="188"/>
      <c r="C31" s="25" t="s">
        <v>27</v>
      </c>
      <c r="D31" s="27">
        <f>SUM(D26)*VLOOKUP(D15,Memory,5)/1024</f>
        <v>0</v>
      </c>
      <c r="E31" s="13"/>
      <c r="F31" s="59"/>
      <c r="G31" s="59"/>
      <c r="H31" s="59"/>
      <c r="I31" s="59"/>
      <c r="J31" s="157"/>
    </row>
    <row r="32" spans="1:10" ht="12.75" hidden="1" customHeight="1" outlineLevel="1" x14ac:dyDescent="0.2">
      <c r="A32" s="188"/>
      <c r="B32" s="188"/>
      <c r="C32" s="25" t="s">
        <v>28</v>
      </c>
      <c r="D32" s="27">
        <f>SUM(D25-D26)*VLOOKUP(D15,Memory,4)/1024</f>
        <v>0</v>
      </c>
      <c r="E32" s="13"/>
      <c r="F32" s="59"/>
      <c r="G32" s="59"/>
      <c r="H32" s="59"/>
      <c r="I32" s="59"/>
      <c r="J32" s="157"/>
    </row>
    <row r="33" spans="1:9" ht="12.75" hidden="1" customHeight="1" outlineLevel="1" x14ac:dyDescent="0.2">
      <c r="A33" s="188"/>
      <c r="B33" s="188"/>
      <c r="C33" s="25" t="s">
        <v>29</v>
      </c>
      <c r="D33" s="26">
        <f>VLOOKUP(D15,Memory,2,FALSE)/1024</f>
        <v>169.9453125</v>
      </c>
      <c r="E33" s="13"/>
      <c r="F33" s="59"/>
      <c r="G33" s="59"/>
      <c r="H33" s="59"/>
      <c r="I33" s="59"/>
    </row>
    <row r="34" spans="1:9" ht="13.5" collapsed="1" thickBot="1" x14ac:dyDescent="0.25">
      <c r="A34" s="188"/>
      <c r="B34" s="189"/>
      <c r="C34" s="29" t="str">
        <f>CONCATENATE("TOTAL (",IF((E34&gt;1024),"GB","MB"),")")</f>
        <v>TOTAL (MB)</v>
      </c>
      <c r="D34" s="30">
        <f>IF(E34&gt;1024,E34/1024,E34)</f>
        <v>169.9453125</v>
      </c>
      <c r="E34" s="31">
        <f>SUM(D30:D33)</f>
        <v>169.9453125</v>
      </c>
      <c r="F34" s="59"/>
      <c r="G34" s="59"/>
      <c r="H34" s="59"/>
      <c r="I34" s="59"/>
    </row>
    <row r="35" spans="1:9" ht="12.75" hidden="1" customHeight="1" outlineLevel="1" x14ac:dyDescent="0.2">
      <c r="A35" s="188"/>
      <c r="B35" s="187" t="s">
        <v>30</v>
      </c>
      <c r="C35" s="25" t="s">
        <v>26</v>
      </c>
      <c r="D35" s="27">
        <f>SUM(D27)*VLOOKUP(D15,Memory,7)/1024</f>
        <v>0</v>
      </c>
      <c r="E35" s="13"/>
      <c r="F35" s="59"/>
      <c r="G35" s="59"/>
      <c r="H35" s="59"/>
      <c r="I35" s="59"/>
    </row>
    <row r="36" spans="1:9" ht="12.75" hidden="1" customHeight="1" outlineLevel="1" x14ac:dyDescent="0.2">
      <c r="A36" s="188"/>
      <c r="B36" s="188"/>
      <c r="C36" s="25" t="s">
        <v>27</v>
      </c>
      <c r="D36" s="27">
        <f>SUM(D26)*VLOOKUP(D15,Memory,9)/1024</f>
        <v>0</v>
      </c>
      <c r="E36" s="13"/>
      <c r="F36" s="59"/>
      <c r="G36" s="59"/>
      <c r="H36" s="59"/>
      <c r="I36" s="59"/>
    </row>
    <row r="37" spans="1:9" ht="12.75" hidden="1" customHeight="1" outlineLevel="1" x14ac:dyDescent="0.2">
      <c r="A37" s="188"/>
      <c r="B37" s="188"/>
      <c r="C37" s="25" t="s">
        <v>28</v>
      </c>
      <c r="D37" s="27">
        <f>SUM(D25-D26)*VLOOKUP(D15,Memory,8)/1024</f>
        <v>0</v>
      </c>
      <c r="E37" s="13"/>
      <c r="F37" s="59"/>
      <c r="G37" s="59"/>
      <c r="H37" s="59"/>
      <c r="I37" s="59"/>
    </row>
    <row r="38" spans="1:9" ht="12.75" hidden="1" customHeight="1" outlineLevel="1" x14ac:dyDescent="0.2">
      <c r="A38" s="188"/>
      <c r="B38" s="188"/>
      <c r="C38" s="25" t="s">
        <v>31</v>
      </c>
      <c r="D38" s="27">
        <f>VLOOKUP(D15,Memory,6,FALSE)/1024</f>
        <v>2299.33203125</v>
      </c>
      <c r="E38" s="13"/>
      <c r="F38" s="59"/>
      <c r="G38" s="59"/>
      <c r="H38" s="59"/>
      <c r="I38" s="59"/>
    </row>
    <row r="39" spans="1:9" ht="13.5" collapsed="1" thickBot="1" x14ac:dyDescent="0.25">
      <c r="A39" s="189"/>
      <c r="B39" s="189"/>
      <c r="C39" s="32" t="str">
        <f>CONCATENATE("TOTAL (",IF((E39&gt;1024),"GB","MB"),")")</f>
        <v>TOTAL (GB)</v>
      </c>
      <c r="D39" s="33">
        <f>IF(E39&gt;1024,E39/1024,E39)</f>
        <v>2.2454414367675781</v>
      </c>
      <c r="E39" s="34">
        <f>SUM(D35:D38)</f>
        <v>2299.33203125</v>
      </c>
      <c r="F39" s="59"/>
      <c r="G39" s="59"/>
      <c r="H39" s="59"/>
      <c r="I39" s="59"/>
    </row>
    <row r="40" spans="1:9" ht="13.5" thickBot="1" x14ac:dyDescent="0.25">
      <c r="A40" s="181"/>
      <c r="B40" s="182"/>
      <c r="C40" s="182"/>
      <c r="D40" s="183"/>
      <c r="E40" s="157"/>
      <c r="F40" s="59"/>
      <c r="G40" s="59"/>
      <c r="H40" s="59"/>
      <c r="I40" s="59"/>
    </row>
    <row r="41" spans="1:9" hidden="1" outlineLevel="1" x14ac:dyDescent="0.2">
      <c r="A41" s="187" t="s">
        <v>32</v>
      </c>
      <c r="B41" s="187" t="s">
        <v>25</v>
      </c>
      <c r="C41" s="35" t="s">
        <v>33</v>
      </c>
      <c r="D41" s="36">
        <f>IFERROR((+(VLOOKUP($D$15,CombinedCPU_SNMP_Poll,2)/$D$9)*$D$27*VLOOKUP($D$15,CombinedCPU_SNMP_Poll,3)/$D$11),0)</f>
        <v>0</v>
      </c>
      <c r="E41" s="37"/>
      <c r="F41" s="157"/>
      <c r="G41" s="157"/>
      <c r="H41" s="157"/>
      <c r="I41" s="157"/>
    </row>
    <row r="42" spans="1:9" hidden="1" outlineLevel="1" x14ac:dyDescent="0.2">
      <c r="A42" s="188"/>
      <c r="B42" s="188"/>
      <c r="C42" s="172" t="s">
        <v>34</v>
      </c>
      <c r="D42" s="38">
        <f>IFERROR((+$D$26*(VLOOKUP($D$15,CombinedCPU_SNMP_Poll,2)/$D$9)*VLOOKUP($D$15,CombinedCPU_SNMP_Poll,4)/$D$11),0)</f>
        <v>0</v>
      </c>
      <c r="E42" s="37"/>
      <c r="F42" s="157"/>
      <c r="G42" s="157"/>
      <c r="H42" s="157"/>
      <c r="I42" s="157"/>
    </row>
    <row r="43" spans="1:9" hidden="1" outlineLevel="1" x14ac:dyDescent="0.2">
      <c r="A43" s="188"/>
      <c r="B43" s="188"/>
      <c r="C43" s="172" t="s">
        <v>35</v>
      </c>
      <c r="D43" s="38">
        <f>SUM(D41:D42)</f>
        <v>0</v>
      </c>
      <c r="E43" s="37"/>
      <c r="F43" s="157"/>
      <c r="G43" s="157"/>
      <c r="H43" s="157"/>
      <c r="I43" s="157"/>
    </row>
    <row r="44" spans="1:9" hidden="1" outlineLevel="1" x14ac:dyDescent="0.2">
      <c r="A44" s="188"/>
      <c r="B44" s="188"/>
      <c r="C44" s="39" t="s">
        <v>36</v>
      </c>
      <c r="D44" s="27">
        <f>IFERROR((+(VLOOKUP($D$15,CombinedCPU_SNMP_Poll,2)/$D$9)*($D$24*VLOOKUP($D$15,CombinedSingleThreadedDiscoveryCPU,3)+($D$25-$D$26)*VLOOKUP($D$15,CombinedSingleThreadedDiscoveryCPU,4)+$D$26*VLOOKUP($D$15,CombinedSingleThreadedDiscoveryCPU,5))),0)</f>
        <v>0</v>
      </c>
      <c r="E44" s="28"/>
      <c r="F44" s="157"/>
      <c r="G44" s="157"/>
      <c r="H44" s="157"/>
      <c r="I44" s="157"/>
    </row>
    <row r="45" spans="1:9" hidden="1" outlineLevel="1" x14ac:dyDescent="0.2">
      <c r="A45" s="188"/>
      <c r="B45" s="188"/>
      <c r="C45" s="39" t="s">
        <v>37</v>
      </c>
      <c r="D45" s="27">
        <f>IFERROR((+(VLOOKUP($D$15,CombinedCPU_SNMP_Poll,2)/$D$9)*($D$24*VLOOKUP($D$15,DiscoveryMultiThreadedCPU,3)+($D$25-$D$26)*VLOOKUP($D$15,DiscoveryMultiThreadedCPU,4)+$D$26*VLOOKUP($D$15,DiscoveryMultiThreadedCPU,5))),0)</f>
        <v>0</v>
      </c>
      <c r="E45" s="28"/>
      <c r="F45" s="157"/>
      <c r="G45" s="180"/>
      <c r="H45" s="157"/>
      <c r="I45" s="157"/>
    </row>
    <row r="46" spans="1:9" hidden="1" outlineLevel="1" x14ac:dyDescent="0.2">
      <c r="A46" s="188"/>
      <c r="B46" s="188"/>
      <c r="C46" s="39" t="s">
        <v>38</v>
      </c>
      <c r="D46" s="27">
        <f>+D14*3600</f>
        <v>21600</v>
      </c>
      <c r="E46" s="28"/>
      <c r="F46" s="157"/>
      <c r="G46" s="180"/>
      <c r="H46" s="157"/>
      <c r="I46" s="157"/>
    </row>
    <row r="47" spans="1:9" hidden="1" outlineLevel="1" x14ac:dyDescent="0.2">
      <c r="A47" s="188"/>
      <c r="B47" s="188"/>
      <c r="C47" s="172" t="s">
        <v>39</v>
      </c>
      <c r="D47" s="26">
        <v>3</v>
      </c>
      <c r="E47" s="13"/>
      <c r="F47" s="157"/>
      <c r="G47" s="157"/>
      <c r="H47" s="157"/>
      <c r="I47" s="157"/>
    </row>
    <row r="48" spans="1:9" hidden="1" outlineLevel="1" x14ac:dyDescent="0.2">
      <c r="A48" s="188"/>
      <c r="B48" s="188"/>
      <c r="C48" s="172" t="s">
        <v>40</v>
      </c>
      <c r="D48" s="26">
        <v>4</v>
      </c>
      <c r="E48" s="13"/>
      <c r="F48" s="157"/>
      <c r="G48" s="157"/>
      <c r="H48" s="157"/>
      <c r="I48" s="157"/>
    </row>
    <row r="49" spans="1:9" hidden="1" outlineLevel="1" x14ac:dyDescent="0.2">
      <c r="A49" s="188"/>
      <c r="B49" s="188"/>
      <c r="C49" s="172" t="s">
        <v>41</v>
      </c>
      <c r="D49" s="38">
        <f>+IF(D$46&gt;D$44,IF(D$44+D$45*D$47&lt;D$46,(D$44+D$45*D$47)/D$46,(D$45*D$47)/(D$46-D$44)),0)</f>
        <v>0</v>
      </c>
      <c r="E49" s="37"/>
      <c r="F49" s="157"/>
      <c r="G49" s="157"/>
      <c r="H49" s="157"/>
      <c r="I49" s="157"/>
    </row>
    <row r="50" spans="1:9" hidden="1" outlineLevel="1" x14ac:dyDescent="0.2">
      <c r="A50" s="188"/>
      <c r="B50" s="188"/>
      <c r="C50" s="40" t="s">
        <v>42</v>
      </c>
      <c r="D50" s="41">
        <f>+D43+D49</f>
        <v>0</v>
      </c>
      <c r="E50" s="37"/>
      <c r="F50" s="157"/>
      <c r="G50" s="157"/>
      <c r="H50" s="157"/>
      <c r="I50" s="157"/>
    </row>
    <row r="51" spans="1:9" ht="13.5" collapsed="1" thickBot="1" x14ac:dyDescent="0.25">
      <c r="A51" s="188"/>
      <c r="B51" s="189"/>
      <c r="C51" s="42" t="s">
        <v>43</v>
      </c>
      <c r="D51" s="43">
        <f>CEILING(D50*1.5,1)</f>
        <v>0</v>
      </c>
      <c r="E51" s="18"/>
      <c r="F51" s="157"/>
      <c r="G51" s="157"/>
      <c r="H51" s="157"/>
      <c r="I51" s="157"/>
    </row>
    <row r="52" spans="1:9" hidden="1" outlineLevel="1" x14ac:dyDescent="0.2">
      <c r="A52" s="188"/>
      <c r="B52" s="187" t="s">
        <v>30</v>
      </c>
      <c r="C52" s="44" t="s">
        <v>33</v>
      </c>
      <c r="D52" s="45">
        <f>IFERROR((+(VLOOKUP($D$15,CombinedCPU_SNMP_Poll,2)/$D$9)*$D$27*VLOOKUP($D$15,CombinedCPU_SNMP_Poll,5)/$D$11),0)</f>
        <v>0</v>
      </c>
      <c r="E52" s="18"/>
      <c r="F52" s="157"/>
      <c r="G52" s="157"/>
      <c r="H52" s="157"/>
      <c r="I52" s="157"/>
    </row>
    <row r="53" spans="1:9" hidden="1" outlineLevel="1" x14ac:dyDescent="0.2">
      <c r="A53" s="188"/>
      <c r="B53" s="188"/>
      <c r="C53" s="39" t="s">
        <v>34</v>
      </c>
      <c r="D53" s="46">
        <f>IFERROR((+$D$26*(VLOOKUP($D$15,CombinedCPU_SNMP_Poll,2)/$D$9)*VLOOKUP($D$15,CombinedCPU_SNMP_Poll,6)/$D$11),0)</f>
        <v>0</v>
      </c>
      <c r="E53" s="18"/>
      <c r="F53" s="157"/>
      <c r="G53" s="157"/>
      <c r="H53" s="157"/>
      <c r="I53" s="157"/>
    </row>
    <row r="54" spans="1:9" hidden="1" outlineLevel="1" x14ac:dyDescent="0.2">
      <c r="A54" s="188"/>
      <c r="B54" s="188"/>
      <c r="C54" s="39" t="s">
        <v>35</v>
      </c>
      <c r="D54" s="46">
        <f>SUM(D52:D53)</f>
        <v>0</v>
      </c>
      <c r="E54" s="18"/>
      <c r="F54" s="157"/>
      <c r="G54" s="157"/>
      <c r="H54" s="157"/>
      <c r="I54" s="157"/>
    </row>
    <row r="55" spans="1:9" hidden="1" outlineLevel="1" x14ac:dyDescent="0.2">
      <c r="A55" s="188"/>
      <c r="B55" s="188"/>
      <c r="C55" s="39" t="s">
        <v>36</v>
      </c>
      <c r="D55" s="47">
        <f>IFERROR((+(VLOOKUP($D$15,CombinedCPU_SNMP_Poll,2)/$D$9)*($D$24*VLOOKUP($D$15,CombinedSingleThreadedDiscoveryCPU,6)+($D$25-$D$26)*VLOOKUP($D$15,CombinedSingleThreadedDiscoveryCPU,7)+$D$26*VLOOKUP($D$15,CombinedSingleThreadedDiscoveryCPU,8))),0)</f>
        <v>0</v>
      </c>
      <c r="E55" s="18"/>
      <c r="F55" s="157"/>
      <c r="G55" s="157"/>
      <c r="H55" s="157"/>
      <c r="I55" s="157"/>
    </row>
    <row r="56" spans="1:9" hidden="1" outlineLevel="1" x14ac:dyDescent="0.2">
      <c r="A56" s="188"/>
      <c r="B56" s="188"/>
      <c r="C56" s="39" t="s">
        <v>37</v>
      </c>
      <c r="D56" s="47">
        <f>IFERROR((+(VLOOKUP($D$15,CombinedCPU_SNMP_Poll,2)/$D$9)*($D$24*VLOOKUP($D$15,DiscoveryMultiThreadedCPU,6)+($D$25-$D$26)*VLOOKUP($D$15,DiscoveryMultiThreadedCPU,7)+$D$26*VLOOKUP($D$15,DiscoveryMultiThreadedCPU,8))),0)</f>
        <v>0</v>
      </c>
      <c r="E56" s="18"/>
      <c r="F56" s="157"/>
      <c r="G56" s="157"/>
      <c r="H56" s="157"/>
      <c r="I56" s="157"/>
    </row>
    <row r="57" spans="1:9" hidden="1" outlineLevel="1" x14ac:dyDescent="0.2">
      <c r="A57" s="188"/>
      <c r="B57" s="188"/>
      <c r="C57" s="39" t="s">
        <v>38</v>
      </c>
      <c r="D57" s="47">
        <f>+D14*3600</f>
        <v>21600</v>
      </c>
      <c r="E57" s="18"/>
      <c r="F57" s="157"/>
      <c r="G57" s="157"/>
      <c r="H57" s="157"/>
      <c r="I57" s="157"/>
    </row>
    <row r="58" spans="1:9" hidden="1" outlineLevel="1" x14ac:dyDescent="0.2">
      <c r="A58" s="188"/>
      <c r="B58" s="188"/>
      <c r="C58" s="39" t="s">
        <v>39</v>
      </c>
      <c r="D58" s="48">
        <v>3</v>
      </c>
      <c r="E58" s="18"/>
      <c r="F58" s="157"/>
      <c r="G58" s="157"/>
      <c r="H58" s="157"/>
      <c r="I58" s="157"/>
    </row>
    <row r="59" spans="1:9" hidden="1" outlineLevel="1" x14ac:dyDescent="0.2">
      <c r="A59" s="188"/>
      <c r="B59" s="188"/>
      <c r="C59" s="39" t="s">
        <v>40</v>
      </c>
      <c r="D59" s="48">
        <v>4</v>
      </c>
      <c r="E59" s="18"/>
      <c r="F59" s="157"/>
      <c r="G59" s="157"/>
      <c r="H59" s="157"/>
      <c r="I59" s="157"/>
    </row>
    <row r="60" spans="1:9" hidden="1" outlineLevel="1" x14ac:dyDescent="0.2">
      <c r="A60" s="188"/>
      <c r="B60" s="188"/>
      <c r="C60" s="39" t="s">
        <v>41</v>
      </c>
      <c r="D60" s="46">
        <f>+IF(D$46&gt;D$44,IF(D$44+D$45*D$47&lt;D$46,(D$44+D$45*D$47)/D$46,(D$45*D$47)/(D$46-D$44)),0)</f>
        <v>0</v>
      </c>
      <c r="E60" s="18"/>
      <c r="F60" s="157"/>
      <c r="G60" s="157"/>
      <c r="H60" s="157"/>
      <c r="I60" s="157"/>
    </row>
    <row r="61" spans="1:9" hidden="1" outlineLevel="1" x14ac:dyDescent="0.2">
      <c r="A61" s="188"/>
      <c r="B61" s="188"/>
      <c r="C61" s="40" t="s">
        <v>42</v>
      </c>
      <c r="D61" s="41">
        <f>+D54+D60</f>
        <v>0</v>
      </c>
      <c r="E61" s="18"/>
      <c r="F61" s="157"/>
      <c r="G61" s="157"/>
      <c r="H61" s="157"/>
      <c r="I61" s="157"/>
    </row>
    <row r="62" spans="1:9" ht="13.5" collapsed="1" thickBot="1" x14ac:dyDescent="0.25">
      <c r="A62" s="189"/>
      <c r="B62" s="189"/>
      <c r="C62" s="42" t="s">
        <v>43</v>
      </c>
      <c r="D62" s="43">
        <f>CEILING(D61*1.5,1)</f>
        <v>0</v>
      </c>
      <c r="E62" s="18"/>
      <c r="F62" s="157"/>
      <c r="G62" s="157"/>
      <c r="H62" s="157"/>
      <c r="I62" s="157"/>
    </row>
    <row r="63" spans="1:9" ht="13.5" thickBot="1" x14ac:dyDescent="0.25">
      <c r="A63" s="181"/>
      <c r="B63" s="182"/>
      <c r="C63" s="182"/>
      <c r="D63" s="183"/>
      <c r="E63" s="18"/>
      <c r="F63" s="2"/>
      <c r="G63" s="1"/>
      <c r="H63" s="157"/>
      <c r="I63" s="49"/>
    </row>
    <row r="64" spans="1:9" hidden="1" outlineLevel="1" x14ac:dyDescent="0.2">
      <c r="A64" s="184" t="s">
        <v>44</v>
      </c>
      <c r="B64" s="184" t="s">
        <v>25</v>
      </c>
      <c r="C64" s="44" t="s">
        <v>45</v>
      </c>
      <c r="D64" s="50">
        <f>+(8/1024)*$D$27*VLOOKUP($D$15,PollingBytes,2)/$D$11</f>
        <v>0</v>
      </c>
      <c r="E64" s="18"/>
      <c r="F64" s="157"/>
      <c r="G64" s="157"/>
      <c r="H64" s="157"/>
      <c r="I64" s="157"/>
    </row>
    <row r="65" spans="1:5" hidden="1" outlineLevel="1" x14ac:dyDescent="0.2">
      <c r="A65" s="185"/>
      <c r="B65" s="185"/>
      <c r="C65" s="39" t="s">
        <v>46</v>
      </c>
      <c r="D65" s="51">
        <f>+(8/1024)*$D$26*VLOOKUP($D$15,PollingBytes,4)/$D$11</f>
        <v>0</v>
      </c>
      <c r="E65" s="18"/>
    </row>
    <row r="66" spans="1:5" hidden="1" outlineLevel="1" x14ac:dyDescent="0.2">
      <c r="A66" s="185"/>
      <c r="B66" s="185"/>
      <c r="C66" s="39" t="s">
        <v>47</v>
      </c>
      <c r="D66" s="51">
        <f>+(8/1024)*$D$26*VLOOKUP($D$15,PollingBytes,3)/$D$10</f>
        <v>0</v>
      </c>
      <c r="E66" s="18"/>
    </row>
    <row r="67" spans="1:5" ht="13.5" collapsed="1" thickBot="1" x14ac:dyDescent="0.25">
      <c r="A67" s="185"/>
      <c r="B67" s="186"/>
      <c r="C67" s="42" t="s">
        <v>48</v>
      </c>
      <c r="D67" s="63">
        <f>SUM(D64:D66)</f>
        <v>0</v>
      </c>
      <c r="E67" s="18"/>
    </row>
    <row r="68" spans="1:5" hidden="1" outlineLevel="1" x14ac:dyDescent="0.2">
      <c r="A68" s="185"/>
      <c r="B68" s="187" t="s">
        <v>30</v>
      </c>
      <c r="C68" s="39" t="s">
        <v>45</v>
      </c>
      <c r="D68" s="47">
        <f>+(8/1024)*$D$27*VLOOKUP($D$15,PollingBytes,5)/$D$11</f>
        <v>0</v>
      </c>
      <c r="E68" s="18"/>
    </row>
    <row r="69" spans="1:5" hidden="1" outlineLevel="1" x14ac:dyDescent="0.2">
      <c r="A69" s="185"/>
      <c r="B69" s="188"/>
      <c r="C69" s="39" t="s">
        <v>46</v>
      </c>
      <c r="D69" s="47">
        <f>+(8/1024)*$D$26*VLOOKUP($D$15,PollingBytes,7)/$D$11</f>
        <v>0</v>
      </c>
      <c r="E69" s="18"/>
    </row>
    <row r="70" spans="1:5" hidden="1" outlineLevel="1" x14ac:dyDescent="0.2">
      <c r="A70" s="185"/>
      <c r="B70" s="188"/>
      <c r="C70" s="39" t="s">
        <v>47</v>
      </c>
      <c r="D70" s="47">
        <f>+(8/1024)*$D$26*VLOOKUP($D$15,PollingBytes,6)/$D$10</f>
        <v>0</v>
      </c>
      <c r="E70" s="18"/>
    </row>
    <row r="71" spans="1:5" ht="13.5" collapsed="1" thickBot="1" x14ac:dyDescent="0.25">
      <c r="A71" s="186"/>
      <c r="B71" s="189"/>
      <c r="C71" s="42" t="s">
        <v>48</v>
      </c>
      <c r="D71" s="63">
        <f>SUM(D68:D70)</f>
        <v>0</v>
      </c>
      <c r="E71" s="18"/>
    </row>
  </sheetData>
  <mergeCells count="40">
    <mergeCell ref="A1:D2"/>
    <mergeCell ref="A4:D4"/>
    <mergeCell ref="A5:A15"/>
    <mergeCell ref="B5:C5"/>
    <mergeCell ref="B6:C6"/>
    <mergeCell ref="B7:C7"/>
    <mergeCell ref="B8:C8"/>
    <mergeCell ref="B9:C9"/>
    <mergeCell ref="B10:C10"/>
    <mergeCell ref="B11:C11"/>
    <mergeCell ref="B12:C12"/>
    <mergeCell ref="B13:C13"/>
    <mergeCell ref="B14:C14"/>
    <mergeCell ref="B15:C15"/>
    <mergeCell ref="A3:D3"/>
    <mergeCell ref="A18:D18"/>
    <mergeCell ref="A19:A28"/>
    <mergeCell ref="B19:C19"/>
    <mergeCell ref="B20:C20"/>
    <mergeCell ref="B21:C21"/>
    <mergeCell ref="B22:C22"/>
    <mergeCell ref="B23:C23"/>
    <mergeCell ref="B24:C24"/>
    <mergeCell ref="B25:C25"/>
    <mergeCell ref="A16:D16"/>
    <mergeCell ref="A64:A71"/>
    <mergeCell ref="B64:B67"/>
    <mergeCell ref="B68:B71"/>
    <mergeCell ref="B26:C26"/>
    <mergeCell ref="B27:C27"/>
    <mergeCell ref="B28:C28"/>
    <mergeCell ref="A30:A39"/>
    <mergeCell ref="B30:B34"/>
    <mergeCell ref="B35:B39"/>
    <mergeCell ref="A40:D40"/>
    <mergeCell ref="A41:A62"/>
    <mergeCell ref="B41:B51"/>
    <mergeCell ref="B52:B62"/>
    <mergeCell ref="A63:D63"/>
    <mergeCell ref="A17:D17"/>
  </mergeCells>
  <dataValidations count="1">
    <dataValidation type="decimal" errorStyle="warning" allowBlank="1" showInputMessage="1" showErrorMessage="1" errorTitle="Polling CPU is over 100%" error="Polling CPU is over 100%.  This may cause late polling." sqref="D43 E50 D50:D51 D61" xr:uid="{00000000-0002-0000-0100-000000000000}">
      <formula1>0</formula1>
      <formula2>1</formula2>
    </dataValidation>
  </dataValidations>
  <hyperlinks>
    <hyperlink ref="D25" r:id="rId1" display="=60*H7+@sum(H8:H9)" xr:uid="{00000000-0004-0000-0100-000000000000}"/>
  </hyperlinks>
  <pageMargins left="0.7" right="0.7" top="0.75" bottom="0.75" header="0.3" footer="0.3"/>
  <pageSetup paperSize="9" orientation="portrait" r:id="rId2"/>
  <legacyDrawing r:id="rId3"/>
  <extLst>
    <ext xmlns:x14="http://schemas.microsoft.com/office/spreadsheetml/2009/9/main" uri="{CCE6A557-97BC-4b89-ADB6-D9C93CAAB3DF}">
      <x14:dataValidations xmlns:xm="http://schemas.microsoft.com/office/excel/2006/main" count="2">
        <x14:dataValidation type="list" showErrorMessage="1" xr:uid="{00000000-0002-0000-0100-000001000000}">
          <x14:formula1>
            <xm:f>Data!$A$4</xm:f>
          </x14:formula1>
          <xm:sqref>D15</xm:sqref>
        </x14:dataValidation>
        <x14:dataValidation type="list" allowBlank="1" showInputMessage="1" showErrorMessage="1" promptTitle="Select OS" prompt="Please select OS" xr:uid="{00000000-0002-0000-0100-000002000000}">
          <x14:formula1>
            <xm:f>Data!$A$4:$A$5</xm:f>
          </x14:formula1>
          <xm:sqref>D15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10"/>
  <sheetViews>
    <sheetView workbookViewId="0">
      <selection activeCell="C9" sqref="C9:D9"/>
    </sheetView>
  </sheetViews>
  <sheetFormatPr defaultColWidth="9.140625" defaultRowHeight="12.75" outlineLevelRow="1" x14ac:dyDescent="0.2"/>
  <cols>
    <col min="1" max="1" width="21.85546875" style="76" bestFit="1" customWidth="1"/>
    <col min="2" max="2" width="40.7109375" style="70" bestFit="1" customWidth="1"/>
    <col min="3" max="3" width="16.7109375" style="70" customWidth="1"/>
    <col min="4" max="4" width="15.42578125" style="70" customWidth="1"/>
    <col min="5" max="5" width="16.85546875" style="70" customWidth="1"/>
    <col min="6" max="6" width="15.42578125" style="70" customWidth="1"/>
    <col min="7" max="7" width="13.7109375" style="70" customWidth="1"/>
    <col min="8" max="8" width="14" style="70" customWidth="1"/>
    <col min="9" max="9" width="14.42578125" style="70" customWidth="1"/>
    <col min="10" max="10" width="13.42578125" style="70" customWidth="1"/>
    <col min="11" max="11" width="11.42578125" style="70" bestFit="1" customWidth="1"/>
    <col min="12" max="14" width="13.85546875" style="70" customWidth="1"/>
    <col min="15" max="16384" width="9.140625" style="64"/>
  </cols>
  <sheetData>
    <row r="1" spans="1:14" ht="15" customHeight="1" x14ac:dyDescent="0.2">
      <c r="A1" s="224" t="s">
        <v>181</v>
      </c>
      <c r="B1" s="225"/>
      <c r="C1" s="225"/>
      <c r="D1" s="225"/>
      <c r="E1" s="225"/>
      <c r="F1" s="225"/>
      <c r="G1" s="225"/>
      <c r="H1" s="225"/>
      <c r="I1" s="225"/>
      <c r="J1" s="226"/>
    </row>
    <row r="2" spans="1:14" ht="13.5" customHeight="1" thickBot="1" x14ac:dyDescent="0.25">
      <c r="A2" s="227"/>
      <c r="B2" s="228"/>
      <c r="C2" s="228"/>
      <c r="D2" s="228"/>
      <c r="E2" s="228"/>
      <c r="F2" s="228"/>
      <c r="G2" s="228"/>
      <c r="H2" s="228"/>
      <c r="I2" s="228"/>
      <c r="J2" s="229"/>
      <c r="K2" s="64"/>
      <c r="L2" s="64"/>
      <c r="M2" s="64"/>
      <c r="N2" s="64"/>
    </row>
    <row r="3" spans="1:14" ht="122.25" customHeight="1" thickBot="1" x14ac:dyDescent="0.25">
      <c r="A3" s="234" t="s">
        <v>49</v>
      </c>
      <c r="B3" s="235"/>
      <c r="C3" s="236" t="s">
        <v>50</v>
      </c>
      <c r="D3" s="237"/>
      <c r="E3" s="237"/>
      <c r="F3" s="237"/>
      <c r="G3" s="237"/>
      <c r="H3" s="237"/>
      <c r="I3" s="237"/>
      <c r="J3" s="238"/>
      <c r="K3" s="3">
        <f>197879080/1024</f>
        <v>193241.2890625</v>
      </c>
      <c r="L3" s="3"/>
      <c r="M3" s="3"/>
      <c r="N3" s="3"/>
    </row>
    <row r="4" spans="1:14" ht="13.5" thickBot="1" x14ac:dyDescent="0.25">
      <c r="A4" s="244"/>
      <c r="B4" s="245"/>
      <c r="C4" s="245"/>
      <c r="D4" s="245"/>
      <c r="E4" s="245"/>
      <c r="F4" s="245"/>
      <c r="G4" s="245"/>
      <c r="H4" s="245"/>
      <c r="I4" s="245"/>
      <c r="J4" s="246"/>
      <c r="K4" s="3"/>
      <c r="L4" s="3"/>
      <c r="M4" s="3"/>
      <c r="N4" s="3"/>
    </row>
    <row r="5" spans="1:14" ht="13.5" thickBot="1" x14ac:dyDescent="0.25">
      <c r="A5" s="241" t="s">
        <v>0</v>
      </c>
      <c r="B5" s="242"/>
      <c r="C5" s="242"/>
      <c r="D5" s="242"/>
      <c r="E5" s="242"/>
      <c r="F5" s="242"/>
      <c r="G5" s="242"/>
      <c r="H5" s="242"/>
      <c r="I5" s="242"/>
      <c r="J5" s="243"/>
      <c r="K5" s="64"/>
      <c r="L5" s="64"/>
      <c r="M5" s="64"/>
      <c r="N5" s="64"/>
    </row>
    <row r="6" spans="1:14" s="65" customFormat="1" ht="15.75" customHeight="1" thickBot="1" x14ac:dyDescent="0.25">
      <c r="A6" s="239"/>
      <c r="B6" s="240"/>
      <c r="C6" s="247" t="s">
        <v>51</v>
      </c>
      <c r="D6" s="248"/>
      <c r="E6" s="249" t="s">
        <v>52</v>
      </c>
      <c r="F6" s="250"/>
      <c r="G6" s="249" t="s">
        <v>53</v>
      </c>
      <c r="H6" s="250"/>
      <c r="I6" s="249" t="s">
        <v>54</v>
      </c>
      <c r="J6" s="251"/>
    </row>
    <row r="7" spans="1:14" x14ac:dyDescent="0.2">
      <c r="A7" s="256" t="s">
        <v>55</v>
      </c>
      <c r="B7" s="150" t="s">
        <v>12</v>
      </c>
      <c r="C7" s="252" t="s">
        <v>13</v>
      </c>
      <c r="D7" s="253"/>
      <c r="E7" s="254" t="s">
        <v>13</v>
      </c>
      <c r="F7" s="253"/>
      <c r="G7" s="254" t="s">
        <v>13</v>
      </c>
      <c r="H7" s="253"/>
      <c r="I7" s="254" t="s">
        <v>13</v>
      </c>
      <c r="J7" s="255"/>
      <c r="K7" s="64"/>
      <c r="L7" s="64"/>
      <c r="M7" s="64"/>
      <c r="N7" s="64"/>
    </row>
    <row r="8" spans="1:14" x14ac:dyDescent="0.2">
      <c r="A8" s="257"/>
      <c r="B8" s="99" t="s">
        <v>6</v>
      </c>
      <c r="C8" s="232"/>
      <c r="D8" s="233"/>
      <c r="E8" s="232"/>
      <c r="F8" s="233"/>
      <c r="G8" s="232"/>
      <c r="H8" s="233"/>
      <c r="I8" s="232"/>
      <c r="J8" s="233"/>
      <c r="K8" s="64"/>
      <c r="L8" s="64"/>
      <c r="M8" s="64"/>
      <c r="N8" s="64"/>
    </row>
    <row r="9" spans="1:14" x14ac:dyDescent="0.2">
      <c r="A9" s="257"/>
      <c r="B9" s="99" t="s">
        <v>56</v>
      </c>
      <c r="C9" s="232"/>
      <c r="D9" s="233"/>
      <c r="E9" s="232"/>
      <c r="F9" s="233"/>
      <c r="G9" s="232"/>
      <c r="H9" s="233"/>
      <c r="I9" s="232"/>
      <c r="J9" s="233"/>
      <c r="K9" s="64"/>
      <c r="L9" s="64"/>
      <c r="M9" s="64"/>
      <c r="N9" s="64"/>
    </row>
    <row r="10" spans="1:14" x14ac:dyDescent="0.2">
      <c r="A10" s="257"/>
      <c r="B10" s="99" t="s">
        <v>57</v>
      </c>
      <c r="C10" s="230"/>
      <c r="D10" s="231"/>
      <c r="E10" s="230"/>
      <c r="F10" s="231"/>
      <c r="G10" s="275"/>
      <c r="H10" s="233"/>
      <c r="I10" s="275"/>
      <c r="J10" s="276"/>
      <c r="K10" s="64"/>
      <c r="L10" s="67"/>
      <c r="M10" s="64"/>
      <c r="N10" s="64"/>
    </row>
    <row r="11" spans="1:14" x14ac:dyDescent="0.2">
      <c r="A11" s="257"/>
      <c r="B11" s="99" t="s">
        <v>58</v>
      </c>
      <c r="C11" s="230"/>
      <c r="D11" s="231"/>
      <c r="E11" s="230"/>
      <c r="F11" s="231"/>
      <c r="G11" s="230"/>
      <c r="H11" s="231"/>
      <c r="I11" s="230"/>
      <c r="J11" s="274"/>
      <c r="K11" s="64"/>
      <c r="L11" s="64"/>
      <c r="M11" s="64"/>
      <c r="N11" s="64"/>
    </row>
    <row r="12" spans="1:14" x14ac:dyDescent="0.2">
      <c r="A12" s="257"/>
      <c r="B12" s="99" t="s">
        <v>59</v>
      </c>
      <c r="C12" s="230"/>
      <c r="D12" s="231"/>
      <c r="E12" s="230"/>
      <c r="F12" s="231"/>
      <c r="G12" s="230"/>
      <c r="H12" s="231"/>
      <c r="I12" s="230"/>
      <c r="J12" s="274"/>
      <c r="K12" s="64"/>
      <c r="L12" s="64"/>
      <c r="M12" s="64"/>
      <c r="N12" s="64"/>
    </row>
    <row r="13" spans="1:14" x14ac:dyDescent="0.2">
      <c r="A13" s="257"/>
      <c r="B13" s="99" t="s">
        <v>60</v>
      </c>
      <c r="C13" s="230">
        <v>0</v>
      </c>
      <c r="D13" s="231"/>
      <c r="E13" s="230">
        <v>0</v>
      </c>
      <c r="F13" s="231"/>
      <c r="G13" s="230">
        <v>0</v>
      </c>
      <c r="H13" s="231"/>
      <c r="I13" s="230">
        <v>0</v>
      </c>
      <c r="J13" s="274"/>
      <c r="K13" s="64"/>
      <c r="L13" s="64"/>
      <c r="M13" s="64"/>
      <c r="N13" s="64"/>
    </row>
    <row r="14" spans="1:14" x14ac:dyDescent="0.2">
      <c r="A14" s="257"/>
      <c r="B14" s="99" t="s">
        <v>61</v>
      </c>
      <c r="C14" s="230">
        <v>0</v>
      </c>
      <c r="D14" s="231"/>
      <c r="E14" s="230">
        <v>0</v>
      </c>
      <c r="F14" s="231"/>
      <c r="G14" s="230">
        <v>0</v>
      </c>
      <c r="H14" s="231"/>
      <c r="I14" s="230">
        <v>0</v>
      </c>
      <c r="J14" s="274"/>
      <c r="K14" s="64"/>
      <c r="L14" s="64"/>
      <c r="M14" s="64"/>
      <c r="N14" s="64"/>
    </row>
    <row r="15" spans="1:14" x14ac:dyDescent="0.2">
      <c r="A15" s="257"/>
      <c r="B15" s="99" t="s">
        <v>62</v>
      </c>
      <c r="C15" s="230">
        <v>0</v>
      </c>
      <c r="D15" s="231"/>
      <c r="E15" s="230">
        <v>0</v>
      </c>
      <c r="F15" s="231"/>
      <c r="G15" s="230">
        <v>0</v>
      </c>
      <c r="H15" s="231"/>
      <c r="I15" s="230">
        <v>0</v>
      </c>
      <c r="J15" s="274"/>
      <c r="K15" s="64"/>
      <c r="L15" s="64"/>
      <c r="M15" s="64"/>
      <c r="N15" s="64"/>
    </row>
    <row r="16" spans="1:14" x14ac:dyDescent="0.2">
      <c r="A16" s="257"/>
      <c r="B16" s="99" t="s">
        <v>17</v>
      </c>
      <c r="C16" s="230">
        <v>0</v>
      </c>
      <c r="D16" s="231"/>
      <c r="E16" s="230">
        <v>0</v>
      </c>
      <c r="F16" s="231"/>
      <c r="G16" s="230">
        <v>0</v>
      </c>
      <c r="H16" s="231"/>
      <c r="I16" s="230">
        <v>0</v>
      </c>
      <c r="J16" s="274"/>
      <c r="K16" s="64"/>
      <c r="L16" s="64"/>
      <c r="M16" s="64"/>
      <c r="N16" s="64"/>
    </row>
    <row r="17" spans="1:14" x14ac:dyDescent="0.2">
      <c r="A17" s="257"/>
      <c r="B17" s="99" t="s">
        <v>3</v>
      </c>
      <c r="C17" s="230">
        <v>0</v>
      </c>
      <c r="D17" s="231"/>
      <c r="E17" s="230">
        <v>0</v>
      </c>
      <c r="F17" s="231"/>
      <c r="G17" s="230">
        <v>0</v>
      </c>
      <c r="H17" s="231"/>
      <c r="I17" s="230">
        <v>0</v>
      </c>
      <c r="J17" s="274"/>
      <c r="K17" s="64"/>
      <c r="L17" s="64"/>
      <c r="M17" s="64"/>
      <c r="N17" s="64"/>
    </row>
    <row r="18" spans="1:14" x14ac:dyDescent="0.2">
      <c r="A18" s="257"/>
      <c r="B18" s="99" t="s">
        <v>4</v>
      </c>
      <c r="C18" s="230">
        <v>0</v>
      </c>
      <c r="D18" s="231"/>
      <c r="E18" s="273">
        <v>0</v>
      </c>
      <c r="F18" s="231"/>
      <c r="G18" s="275">
        <v>0</v>
      </c>
      <c r="H18" s="233"/>
      <c r="I18" s="275">
        <v>0</v>
      </c>
      <c r="J18" s="276"/>
      <c r="K18" s="64"/>
      <c r="L18" s="64"/>
      <c r="M18" s="64"/>
      <c r="N18" s="64"/>
    </row>
    <row r="19" spans="1:14" x14ac:dyDescent="0.2">
      <c r="A19" s="257"/>
      <c r="B19" s="99" t="s">
        <v>5</v>
      </c>
      <c r="C19" s="230">
        <v>0</v>
      </c>
      <c r="D19" s="231"/>
      <c r="E19" s="273">
        <v>0</v>
      </c>
      <c r="F19" s="231"/>
      <c r="G19" s="275">
        <v>0</v>
      </c>
      <c r="H19" s="233"/>
      <c r="I19" s="275">
        <v>0</v>
      </c>
      <c r="J19" s="276"/>
      <c r="K19" s="64"/>
      <c r="L19" s="64"/>
      <c r="M19" s="64"/>
      <c r="N19" s="64"/>
    </row>
    <row r="20" spans="1:14" x14ac:dyDescent="0.2">
      <c r="A20" s="257"/>
      <c r="B20" s="99" t="s">
        <v>8</v>
      </c>
      <c r="C20" s="230">
        <v>240</v>
      </c>
      <c r="D20" s="231"/>
      <c r="E20" s="273">
        <v>240</v>
      </c>
      <c r="F20" s="231"/>
      <c r="G20" s="275">
        <v>240</v>
      </c>
      <c r="H20" s="233"/>
      <c r="I20" s="275">
        <v>240</v>
      </c>
      <c r="J20" s="276"/>
      <c r="K20" s="64"/>
      <c r="L20" s="64"/>
      <c r="M20" s="64"/>
      <c r="N20" s="64"/>
    </row>
    <row r="21" spans="1:14" x14ac:dyDescent="0.2">
      <c r="A21" s="257"/>
      <c r="B21" s="99" t="s">
        <v>7</v>
      </c>
      <c r="C21" s="230">
        <v>120</v>
      </c>
      <c r="D21" s="231"/>
      <c r="E21" s="273">
        <v>120</v>
      </c>
      <c r="F21" s="231"/>
      <c r="G21" s="275">
        <v>120</v>
      </c>
      <c r="H21" s="233"/>
      <c r="I21" s="275">
        <v>120</v>
      </c>
      <c r="J21" s="276"/>
      <c r="K21" s="64"/>
      <c r="L21" s="64"/>
      <c r="M21" s="64"/>
      <c r="N21" s="64"/>
    </row>
    <row r="22" spans="1:14" x14ac:dyDescent="0.2">
      <c r="A22" s="257"/>
      <c r="B22" s="99" t="s">
        <v>9</v>
      </c>
      <c r="C22" s="230">
        <v>0</v>
      </c>
      <c r="D22" s="231"/>
      <c r="E22" s="273">
        <v>0</v>
      </c>
      <c r="F22" s="231"/>
      <c r="G22" s="275">
        <v>0</v>
      </c>
      <c r="H22" s="233"/>
      <c r="I22" s="275">
        <v>0</v>
      </c>
      <c r="J22" s="276"/>
      <c r="K22" s="64"/>
      <c r="L22" s="64"/>
      <c r="M22" s="64"/>
      <c r="N22" s="64"/>
    </row>
    <row r="23" spans="1:14" ht="13.5" thickBot="1" x14ac:dyDescent="0.25">
      <c r="A23" s="258"/>
      <c r="B23" s="101" t="s">
        <v>10</v>
      </c>
      <c r="C23" s="282">
        <v>0</v>
      </c>
      <c r="D23" s="278"/>
      <c r="E23" s="277">
        <v>0</v>
      </c>
      <c r="F23" s="278"/>
      <c r="G23" s="277">
        <v>0</v>
      </c>
      <c r="H23" s="278"/>
      <c r="I23" s="277">
        <v>0</v>
      </c>
      <c r="J23" s="279"/>
      <c r="K23" s="64"/>
      <c r="L23" s="64"/>
      <c r="M23" s="64"/>
      <c r="N23" s="64"/>
    </row>
    <row r="24" spans="1:14" ht="13.5" thickBot="1" x14ac:dyDescent="0.25">
      <c r="A24" s="259"/>
      <c r="B24" s="260"/>
      <c r="C24" s="260"/>
      <c r="D24" s="260"/>
      <c r="E24" s="260"/>
      <c r="F24" s="260"/>
      <c r="G24" s="260"/>
      <c r="H24" s="260"/>
      <c r="I24" s="260"/>
      <c r="J24" s="261"/>
      <c r="K24" s="64"/>
      <c r="L24" s="64"/>
      <c r="M24" s="64"/>
      <c r="N24" s="64"/>
    </row>
    <row r="25" spans="1:14" ht="13.5" thickBot="1" x14ac:dyDescent="0.25">
      <c r="A25" s="262" t="s">
        <v>14</v>
      </c>
      <c r="B25" s="263"/>
      <c r="C25" s="263"/>
      <c r="D25" s="263"/>
      <c r="E25" s="263"/>
      <c r="F25" s="263"/>
      <c r="G25" s="263"/>
      <c r="H25" s="263"/>
      <c r="I25" s="263"/>
      <c r="J25" s="264"/>
      <c r="K25" s="64"/>
      <c r="L25" s="64"/>
      <c r="M25" s="64"/>
      <c r="N25" s="64"/>
    </row>
    <row r="26" spans="1:14" ht="13.5" thickBot="1" x14ac:dyDescent="0.25">
      <c r="A26" s="265" t="s">
        <v>15</v>
      </c>
      <c r="B26" s="266"/>
      <c r="C26" s="266"/>
      <c r="D26" s="266"/>
      <c r="E26" s="266"/>
      <c r="F26" s="266"/>
      <c r="G26" s="266"/>
      <c r="H26" s="266"/>
      <c r="I26" s="266"/>
      <c r="J26" s="267"/>
      <c r="K26" s="64"/>
      <c r="L26" s="64"/>
      <c r="M26" s="64"/>
      <c r="N26" s="64"/>
    </row>
    <row r="27" spans="1:14" hidden="1" outlineLevel="1" x14ac:dyDescent="0.2">
      <c r="A27" s="256" t="s">
        <v>16</v>
      </c>
      <c r="B27" s="104" t="s">
        <v>63</v>
      </c>
      <c r="C27" s="280">
        <f>+(1+C23)^C22-1</f>
        <v>0</v>
      </c>
      <c r="D27" s="281"/>
      <c r="E27" s="280">
        <f>+(1+E23)^E22-1</f>
        <v>0</v>
      </c>
      <c r="F27" s="281"/>
      <c r="G27" s="280">
        <f>+(1+G23)^G22-1</f>
        <v>0</v>
      </c>
      <c r="H27" s="281"/>
      <c r="I27" s="280">
        <f>+(1+I23)^I22-1</f>
        <v>0</v>
      </c>
      <c r="J27" s="292"/>
      <c r="K27" s="64"/>
      <c r="L27" s="64"/>
      <c r="M27" s="64"/>
      <c r="N27" s="64"/>
    </row>
    <row r="28" spans="1:14" hidden="1" outlineLevel="1" x14ac:dyDescent="0.2">
      <c r="A28" s="257"/>
      <c r="B28" s="117" t="s">
        <v>17</v>
      </c>
      <c r="C28" s="271">
        <f>CEILING((1+C27)*C16,1)</f>
        <v>0</v>
      </c>
      <c r="D28" s="272"/>
      <c r="E28" s="271">
        <f>CEILING((1+E27)*E16,1)</f>
        <v>0</v>
      </c>
      <c r="F28" s="272"/>
      <c r="G28" s="271">
        <f>CEILING((1+G27)*G16,1)</f>
        <v>0</v>
      </c>
      <c r="H28" s="272"/>
      <c r="I28" s="271">
        <f>CEILING((1+I27)*I16,1)</f>
        <v>0</v>
      </c>
      <c r="J28" s="293"/>
      <c r="K28" s="64"/>
      <c r="L28" s="64"/>
      <c r="M28" s="64"/>
      <c r="N28" s="64"/>
    </row>
    <row r="29" spans="1:14" hidden="1" outlineLevel="1" x14ac:dyDescent="0.2">
      <c r="A29" s="257"/>
      <c r="B29" s="99" t="s">
        <v>3</v>
      </c>
      <c r="C29" s="271">
        <f>CEILING((1+C27)*C17,1)</f>
        <v>0</v>
      </c>
      <c r="D29" s="272"/>
      <c r="E29" s="271">
        <f>CEILING((1+E27)*E17,1)</f>
        <v>0</v>
      </c>
      <c r="F29" s="272"/>
      <c r="G29" s="271">
        <f>CEILING((1+G27)*G17,1)</f>
        <v>0</v>
      </c>
      <c r="H29" s="272"/>
      <c r="I29" s="271">
        <f>CEILING((1+I27)*I17,1)</f>
        <v>0</v>
      </c>
      <c r="J29" s="293"/>
      <c r="K29" s="64"/>
      <c r="L29" s="64"/>
      <c r="M29" s="64"/>
      <c r="N29" s="64"/>
    </row>
    <row r="30" spans="1:14" hidden="1" outlineLevel="1" x14ac:dyDescent="0.2">
      <c r="A30" s="257"/>
      <c r="B30" s="99" t="s">
        <v>4</v>
      </c>
      <c r="C30" s="271">
        <f>CEILING((1+C27)*C18,1)</f>
        <v>0</v>
      </c>
      <c r="D30" s="272"/>
      <c r="E30" s="271">
        <f>CEILING((1+E27)*E18,1)</f>
        <v>0</v>
      </c>
      <c r="F30" s="272"/>
      <c r="G30" s="271">
        <f>CEILING((1+G27)*G18,1)</f>
        <v>0</v>
      </c>
      <c r="H30" s="272"/>
      <c r="I30" s="271">
        <f>CEILING((1+I27)*I18,1)</f>
        <v>0</v>
      </c>
      <c r="J30" s="293"/>
      <c r="K30" s="64"/>
      <c r="L30" s="64"/>
      <c r="M30" s="64"/>
      <c r="N30" s="64"/>
    </row>
    <row r="31" spans="1:14" hidden="1" outlineLevel="1" x14ac:dyDescent="0.2">
      <c r="A31" s="257"/>
      <c r="B31" s="99" t="s">
        <v>5</v>
      </c>
      <c r="C31" s="271">
        <f>CEILING((1+C27)*C19,1)</f>
        <v>0</v>
      </c>
      <c r="D31" s="272"/>
      <c r="E31" s="271">
        <f>CEILING((1+E27)*E19,1)</f>
        <v>0</v>
      </c>
      <c r="F31" s="272"/>
      <c r="G31" s="271">
        <f>CEILING((1+G27)*G19,1)</f>
        <v>0</v>
      </c>
      <c r="H31" s="272"/>
      <c r="I31" s="271">
        <f>CEILING((1+I27)*I19,1)</f>
        <v>0</v>
      </c>
      <c r="J31" s="293"/>
      <c r="K31" s="64"/>
      <c r="L31" s="64"/>
      <c r="M31" s="64"/>
      <c r="N31" s="64"/>
    </row>
    <row r="32" spans="1:14" hidden="1" outlineLevel="1" x14ac:dyDescent="0.2">
      <c r="A32" s="257"/>
      <c r="B32" s="99" t="s">
        <v>19</v>
      </c>
      <c r="C32" s="271">
        <f>IF(C11+C12&lt;=0,20*C28+SUM(C29:C31),CEILING((1+C27)*(C11+C12),1))</f>
        <v>0</v>
      </c>
      <c r="D32" s="272"/>
      <c r="E32" s="271">
        <f>IF(E11+E12&lt;=0,20*E28+SUM(E29:E31),CEILING((1+E27)*(E11+E12),1))</f>
        <v>0</v>
      </c>
      <c r="F32" s="272"/>
      <c r="G32" s="271">
        <f>IF(G11+G12&lt;=0,20*G28+SUM(G29:G31),CEILING((1+G27)*(G11+G12),1))</f>
        <v>0</v>
      </c>
      <c r="H32" s="272"/>
      <c r="I32" s="271">
        <f>IF(I11+I12&lt;=0,20*I28+SUM(I29:I31),CEILING((1+I27)*(I11+I12),1))</f>
        <v>0</v>
      </c>
      <c r="J32" s="293"/>
      <c r="K32" s="64"/>
      <c r="L32" s="64"/>
      <c r="M32" s="64"/>
      <c r="N32" s="64"/>
    </row>
    <row r="33" spans="1:14" hidden="1" outlineLevel="1" x14ac:dyDescent="0.2">
      <c r="A33" s="257"/>
      <c r="B33" s="99" t="s">
        <v>20</v>
      </c>
      <c r="C33" s="271">
        <f>IF(C13+C14&lt;=0,60*C29+C30+C31,CEILING((1+C27)*(C13+C14),1))</f>
        <v>0</v>
      </c>
      <c r="D33" s="272"/>
      <c r="E33" s="271">
        <f>IF(E13+E14&lt;=0,60*E29+E30+E31,CEILING((1+E27)*(E13+E14),1))</f>
        <v>0</v>
      </c>
      <c r="F33" s="272"/>
      <c r="G33" s="271">
        <f>IF(G13+G14&lt;=0,60*G29+G30+G31,CEILING((1+G27)*(G13+G14),1))</f>
        <v>0</v>
      </c>
      <c r="H33" s="272"/>
      <c r="I33" s="271">
        <f>IF(I13+I14&lt;=0,60*I29+I30+I31,CEILING((1+I27)*(I13+I14),1))</f>
        <v>0</v>
      </c>
      <c r="J33" s="293"/>
      <c r="K33" s="64"/>
      <c r="L33" s="64"/>
      <c r="M33" s="64"/>
      <c r="N33" s="64"/>
    </row>
    <row r="34" spans="1:14" hidden="1" outlineLevel="1" x14ac:dyDescent="0.2">
      <c r="A34" s="257"/>
      <c r="B34" s="99" t="s">
        <v>18</v>
      </c>
      <c r="C34" s="271">
        <f>IF(C15&lt;=0,10*C28+SUM(C29:C31),CEILING((1+C27)*C15,1))</f>
        <v>0</v>
      </c>
      <c r="D34" s="272"/>
      <c r="E34" s="271">
        <f>IF(E15&lt;=0,10*E28+SUM(E29:E31),CEILING((1+E27)*E15,1))</f>
        <v>0</v>
      </c>
      <c r="F34" s="272"/>
      <c r="G34" s="271">
        <f>IF(G15&lt;=0,10*G28+SUM(G29:G31),CEILING((1+G27)*G15,1))</f>
        <v>0</v>
      </c>
      <c r="H34" s="272"/>
      <c r="I34" s="271">
        <f>IF(I15&lt;=0,10*I28+SUM(I29:I31),CEILING((1+I27)*I15,1))</f>
        <v>0</v>
      </c>
      <c r="J34" s="293"/>
      <c r="K34" s="64"/>
      <c r="L34" s="64"/>
      <c r="M34" s="64"/>
      <c r="N34" s="64"/>
    </row>
    <row r="35" spans="1:14" hidden="1" outlineLevel="1" x14ac:dyDescent="0.2">
      <c r="A35" s="257"/>
      <c r="B35" s="99" t="s">
        <v>58</v>
      </c>
      <c r="C35" s="271">
        <f>IF(C11&lt;=0,CEILING(0.1*C32,1),CEILING((1+C27)*C11,1))</f>
        <v>0</v>
      </c>
      <c r="D35" s="272"/>
      <c r="E35" s="271">
        <f>IF(E11&lt;=0,CEILING(0.1*E32,1),CEILING((1+E27)*E11,1))</f>
        <v>0</v>
      </c>
      <c r="F35" s="272"/>
      <c r="G35" s="271">
        <f>IF(G11&lt;=0,CEILING(0.1*G32,1),CEILING((1+G27)*G11,1))</f>
        <v>0</v>
      </c>
      <c r="H35" s="272"/>
      <c r="I35" s="271">
        <f>IF(I11&lt;=0,CEILING(0.1*I32,1),CEILING((1+I27)*I11,1))</f>
        <v>0</v>
      </c>
      <c r="J35" s="293"/>
      <c r="K35" s="64"/>
      <c r="L35" s="64"/>
      <c r="M35" s="64"/>
      <c r="N35" s="64"/>
    </row>
    <row r="36" spans="1:14" hidden="1" outlineLevel="1" x14ac:dyDescent="0.2">
      <c r="A36" s="257"/>
      <c r="B36" s="99" t="s">
        <v>59</v>
      </c>
      <c r="C36" s="271">
        <f>IF(C12&lt;=0,C32-C35,CEILING((1+C27)*C12,1))</f>
        <v>0</v>
      </c>
      <c r="D36" s="272"/>
      <c r="E36" s="271">
        <f>IF(E12&lt;=0,E32-E35,CEILING((1+E27)*E12,1))</f>
        <v>0</v>
      </c>
      <c r="F36" s="272"/>
      <c r="G36" s="271">
        <f>IF(G12&lt;=0,G32-G35,CEILING((1+G27)*G12,1))</f>
        <v>0</v>
      </c>
      <c r="H36" s="272"/>
      <c r="I36" s="271">
        <f>IF(I12&lt;=0,I32-I35,CEILING((1+I27)*I12,1))</f>
        <v>0</v>
      </c>
      <c r="J36" s="293"/>
      <c r="K36" s="64"/>
      <c r="L36" s="64"/>
      <c r="M36" s="64"/>
      <c r="N36" s="64"/>
    </row>
    <row r="37" spans="1:14" hidden="1" outlineLevel="1" x14ac:dyDescent="0.2">
      <c r="A37" s="257"/>
      <c r="B37" s="99" t="s">
        <v>60</v>
      </c>
      <c r="C37" s="271">
        <f>IF(C13&lt;=0,C33-C38,CEILING((1+C27)*C13,1))</f>
        <v>0</v>
      </c>
      <c r="D37" s="272"/>
      <c r="E37" s="271">
        <f>IF(E13&lt;=0,E33-E38,CEILING((1+E27)*E13,1))</f>
        <v>0</v>
      </c>
      <c r="F37" s="272"/>
      <c r="G37" s="271">
        <f>IF(G13&lt;=0,G33-G38,CEILING((1+G27)*G13,1))</f>
        <v>0</v>
      </c>
      <c r="H37" s="272"/>
      <c r="I37" s="271">
        <f>IF(I13&lt;=0,I33-I38,CEILING((1+I27)*I13,1))</f>
        <v>0</v>
      </c>
      <c r="J37" s="293"/>
      <c r="K37" s="64"/>
      <c r="L37" s="64"/>
      <c r="M37" s="64"/>
      <c r="N37" s="64"/>
    </row>
    <row r="38" spans="1:14" ht="13.5" hidden="1" outlineLevel="1" thickBot="1" x14ac:dyDescent="0.25">
      <c r="A38" s="258"/>
      <c r="B38" s="100" t="s">
        <v>61</v>
      </c>
      <c r="C38" s="271">
        <f>IF(C14&lt;=0,CEILING(0.36*60*C17+C18+C19,1),CEILING((1+C27)*C14,1))</f>
        <v>0</v>
      </c>
      <c r="D38" s="272"/>
      <c r="E38" s="271">
        <f>IF(E14&lt;=0,CEILING(0.36*60*E17+E18+E19,1),CEILING((1+E27)*E14,1))</f>
        <v>0</v>
      </c>
      <c r="F38" s="272"/>
      <c r="G38" s="271">
        <f>IF(G14&lt;=0,CEILING(0.36*60*G17+G18+G19,1),CEILING((1+G27)*G14,1))</f>
        <v>0</v>
      </c>
      <c r="H38" s="272"/>
      <c r="I38" s="271">
        <f>IF(I14&lt;=0,CEILING(0.36*60*I17+I18+I19,1),CEILING((1+I27)*I14,1))</f>
        <v>0</v>
      </c>
      <c r="J38" s="293"/>
      <c r="K38" s="64"/>
      <c r="L38" s="64"/>
      <c r="M38" s="64"/>
      <c r="N38" s="64"/>
    </row>
    <row r="39" spans="1:14" ht="13.5" hidden="1" outlineLevel="1" thickBot="1" x14ac:dyDescent="0.25">
      <c r="A39" s="268"/>
      <c r="B39" s="269"/>
      <c r="C39" s="269"/>
      <c r="D39" s="269"/>
      <c r="E39" s="269"/>
      <c r="F39" s="269"/>
      <c r="G39" s="269"/>
      <c r="H39" s="269"/>
      <c r="I39" s="269"/>
      <c r="J39" s="270"/>
      <c r="K39" s="64"/>
      <c r="L39" s="64"/>
      <c r="M39" s="64"/>
      <c r="N39" s="64"/>
    </row>
    <row r="40" spans="1:14" s="65" customFormat="1" ht="13.5" collapsed="1" thickBot="1" x14ac:dyDescent="0.25">
      <c r="A40" s="239"/>
      <c r="B40" s="240"/>
      <c r="C40" s="97" t="s">
        <v>64</v>
      </c>
      <c r="D40" s="98" t="s">
        <v>65</v>
      </c>
      <c r="E40" s="97" t="s">
        <v>64</v>
      </c>
      <c r="F40" s="98" t="s">
        <v>65</v>
      </c>
      <c r="G40" s="174" t="s">
        <v>64</v>
      </c>
      <c r="H40" s="98" t="s">
        <v>65</v>
      </c>
      <c r="I40" s="97" t="s">
        <v>64</v>
      </c>
      <c r="J40" s="124" t="s">
        <v>65</v>
      </c>
    </row>
    <row r="41" spans="1:14" hidden="1" outlineLevel="1" x14ac:dyDescent="0.2">
      <c r="A41" s="256" t="s">
        <v>35</v>
      </c>
      <c r="B41" s="104" t="s">
        <v>66</v>
      </c>
      <c r="C41" s="105">
        <f>IFERROR(INT(C9/C8),0)</f>
        <v>0</v>
      </c>
      <c r="D41" s="105">
        <f>IFERROR(INT(C9/C8),0)</f>
        <v>0</v>
      </c>
      <c r="E41" s="105">
        <f>IFERROR(INT(E9/E8),0)</f>
        <v>0</v>
      </c>
      <c r="F41" s="105">
        <f>IFERROR(INT(E9/E8),0)</f>
        <v>0</v>
      </c>
      <c r="G41" s="105">
        <f>IFERROR(INT(G9/G8),0)</f>
        <v>0</v>
      </c>
      <c r="H41" s="105">
        <f>IFERROR(INT(G9/G8),0)</f>
        <v>0</v>
      </c>
      <c r="I41" s="105">
        <f>IFERROR(INT(I9/I8),0)</f>
        <v>0</v>
      </c>
      <c r="J41" s="154">
        <f>IFERROR(INT(I9/I8),0)</f>
        <v>0</v>
      </c>
      <c r="K41" s="64"/>
      <c r="L41" s="64"/>
      <c r="M41" s="64"/>
      <c r="N41" s="64"/>
    </row>
    <row r="42" spans="1:14" hidden="1" outlineLevel="1" x14ac:dyDescent="0.2">
      <c r="A42" s="257"/>
      <c r="B42" s="99" t="s">
        <v>67</v>
      </c>
      <c r="C42" s="106">
        <f>IF(C10&gt;0,MIN(C41,C10,4),MIN(C41,4))</f>
        <v>0</v>
      </c>
      <c r="D42" s="106">
        <f>IF(C10&gt;0,MIN(C41,C10,4),MIN(C41,4))</f>
        <v>0</v>
      </c>
      <c r="E42" s="78">
        <f>IF(E10&gt;0,MIN(E41,E10,4),MIN(E41,4))</f>
        <v>0</v>
      </c>
      <c r="F42" s="78">
        <f>IF(E10&gt;0,MIN(E41,E10,4),MIN(E41,4))</f>
        <v>0</v>
      </c>
      <c r="G42" s="78">
        <f>IF(G10&gt;0,MIN(G41,G10,4),MIN(G41,4))</f>
        <v>0</v>
      </c>
      <c r="H42" s="78">
        <f>IF(G10&gt;0,MIN(G41,G10,4),MIN(G41,4))</f>
        <v>0</v>
      </c>
      <c r="I42" s="78">
        <f>IF(I10&gt;0,MIN(I41,I10,4),MIN(I41,4))</f>
        <v>0</v>
      </c>
      <c r="J42" s="155">
        <f>IF(I10&gt;0,MIN(I41,I10,4),MIN(I41,4))</f>
        <v>0</v>
      </c>
      <c r="K42" s="64"/>
      <c r="L42" s="64"/>
      <c r="M42" s="64"/>
      <c r="N42" s="64"/>
    </row>
    <row r="43" spans="1:14" hidden="1" outlineLevel="1" x14ac:dyDescent="0.2">
      <c r="A43" s="257"/>
      <c r="B43" s="99" t="s">
        <v>68</v>
      </c>
      <c r="C43" s="107">
        <f>IFERROR(+(VLOOKUP(C7,CombinedCPU_SNMP_Poll,2)/C8)*(C36*VLOOKUP(C7,PollingMultithreadedCPU,2)+C38*VLOOKUP(C7,PollingMultithreadedCPU,4)+C34*VLOOKUP(C7,PollingMultithreadedCPU,5))/C20,0)</f>
        <v>0</v>
      </c>
      <c r="D43" s="80">
        <f>IFERROR(+(VLOOKUP(C7,CombinedCPU_SNMP_Poll,2)/C8)*(C36*VLOOKUP(C7,PollingMultithreadedCPU,6)+C38*VLOOKUP(C7,PollingMultithreadedCPU,8)+C34*VLOOKUP(C7,PollingMultithreadedCPU,9))/C20,0)</f>
        <v>0</v>
      </c>
      <c r="E43" s="80">
        <f>IFERROR((+(VLOOKUP(E7,CombinedCPU_SNMP_Poll,2)/E8)*(E36*VLOOKUP(E7,PollingMultithreadedCPU,2)+E38*VLOOKUP(E7,PollingMultithreadedCPU,4)+E34*VLOOKUP(E7,PollingMultithreadedCPU,5))/E20),0)</f>
        <v>0</v>
      </c>
      <c r="F43" s="80">
        <f>IFERROR((+(VLOOKUP(E7,CombinedCPU_SNMP_Poll,2)/E8)*(E36*VLOOKUP(E7,PollingMultithreadedCPU,6)+E38*VLOOKUP(E7,PollingMultithreadedCPU,8)+E34*VLOOKUP(E7,PollingMultithreadedCPU,9))/E20),0)</f>
        <v>0</v>
      </c>
      <c r="G43" s="80">
        <f>IFERROR((+(VLOOKUP(G7,CombinedCPU_SNMP_Poll,2)/G8)*(G36*VLOOKUP(G7,PollingMultithreadedCPU,2)+G38*VLOOKUP(G7,PollingMultithreadedCPU,4)+G34*VLOOKUP(G7,PollingMultithreadedCPU,5))/G20),0)</f>
        <v>0</v>
      </c>
      <c r="H43" s="80">
        <f>IFERROR((+(VLOOKUP(G7,CombinedCPU_SNMP_Poll,2)/G8)*(G36*VLOOKUP(G7,PollingMultithreadedCPU,6)+G38*VLOOKUP(G7,PollingMultithreadedCPU,8)+G34*VLOOKUP(G7,PollingMultithreadedCPU,9))/G20),0)</f>
        <v>0</v>
      </c>
      <c r="I43" s="80">
        <f>IFERROR((+(VLOOKUP(I7,CombinedCPU_SNMP_Poll,2)/I8)*(I36*VLOOKUP(I7,PollingMultithreadedCPU,2)+I38*VLOOKUP(I7,PollingMultithreadedCPU,4)+I34*VLOOKUP(I7,PollingMultithreadedCPU,5))/I20),0)</f>
        <v>0</v>
      </c>
      <c r="J43" s="81">
        <f>IFERROR((+(VLOOKUP(I7,CombinedCPU_SNMP_Poll,2)/I8)*(I36*VLOOKUP(I7,PollingMultithreadedCPU,6)+I38*VLOOKUP(I7,PollingMultithreadedCPU,8)+I34*VLOOKUP(I7,PollingMultithreadedCPU,9))/I20),0)</f>
        <v>0</v>
      </c>
      <c r="K43" s="64"/>
      <c r="L43" s="64"/>
      <c r="M43" s="64"/>
      <c r="N43" s="64"/>
    </row>
    <row r="44" spans="1:14" ht="13.5" hidden="1" outlineLevel="1" thickBot="1" x14ac:dyDescent="0.25">
      <c r="A44" s="257"/>
      <c r="B44" s="101" t="s">
        <v>69</v>
      </c>
      <c r="C44" s="108">
        <f>IFERROR(+(VLOOKUP(C7,CombinedCPU_SNMP_Poll,2)/C8)*(C36*VLOOKUP(C7,PollingSingleThreadedCPU,2)+C38*VLOOKUP(C7,PollingSingleThreadedCPU,4)+C34*VLOOKUP(C7,PollingSingleThreadedCPU,5))/C20,0)</f>
        <v>0</v>
      </c>
      <c r="D44" s="82">
        <f>IFERROR(+(VLOOKUP(C7,CombinedCPU_SNMP_Poll,2)/C8)*(C36*VLOOKUP(C7,PollingSingleThreadedCPU,6)+C38*VLOOKUP(C7,PollingSingleThreadedCPU,8)+C34*VLOOKUP(C7,PollingSingleThreadedCPU,9))/C20,0)</f>
        <v>0</v>
      </c>
      <c r="E44" s="82">
        <f>IFERROR((+(VLOOKUP(E7,CombinedCPU_SNMP_Poll,2)/E8)*(E36*VLOOKUP(E7,PollingSingleThreadedCPU,2)+E38*VLOOKUP(E7,PollingSingleThreadedCPU,4)+E34*VLOOKUP(E7,PollingSingleThreadedCPU,5))/E20),0)</f>
        <v>0</v>
      </c>
      <c r="F44" s="82">
        <f>IFERROR((+(VLOOKUP(E7,CombinedCPU_SNMP_Poll,2)/E8)*(E36*VLOOKUP(E7,PollingSingleThreadedCPU,6)+E38*VLOOKUP(E7,PollingSingleThreadedCPU,8)+E34*VLOOKUP(E7,PollingSingleThreadedCPU,9))/E20),0)</f>
        <v>0</v>
      </c>
      <c r="G44" s="82">
        <f>IFERROR((+(VLOOKUP(G7,CombinedCPU_SNMP_Poll,2)/G8)*(G36*VLOOKUP(G7,PollingSingleThreadedCPU,2)+G38*VLOOKUP(G7,PollingSingleThreadedCPU,4)+G34*VLOOKUP(G7,PollingSingleThreadedCPU,5))/G20),0)</f>
        <v>0</v>
      </c>
      <c r="H44" s="82">
        <f>IFERROR((+(VLOOKUP(G7,CombinedCPU_SNMP_Poll,2)/G8)*(G36*VLOOKUP(G7,PollingSingleThreadedCPU,6)+G38*VLOOKUP(G7,PollingSingleThreadedCPU,8)+G34*VLOOKUP(G7,PollingSingleThreadedCPU,9))/G20),0)</f>
        <v>0</v>
      </c>
      <c r="I44" s="82">
        <f>IFERROR((+(VLOOKUP(I7,CombinedCPU_SNMP_Poll,2)/I8)*(I36*VLOOKUP(I7,PollingSingleThreadedCPU,2)+I38*VLOOKUP(I7,PollingSingleThreadedCPU,4)+I34*VLOOKUP(I7,PollingSingleThreadedCPU,5))/I20),0)</f>
        <v>0</v>
      </c>
      <c r="J44" s="83">
        <f>IFERROR((+(VLOOKUP(I7,CombinedCPU_SNMP_Poll,2)/I8)*(I36*VLOOKUP(I7,PollingSingleThreadedCPU,6)+I38*VLOOKUP(I7,PollingSingleThreadedCPU,8)+I34*VLOOKUP(I7,PollingSingleThreadedCPU,9))/I20),0)</f>
        <v>0</v>
      </c>
      <c r="K44" s="64"/>
      <c r="L44" s="64"/>
      <c r="M44" s="64"/>
      <c r="N44" s="64"/>
    </row>
    <row r="45" spans="1:14" ht="13.5" hidden="1" outlineLevel="1" thickBot="1" x14ac:dyDescent="0.25">
      <c r="A45" s="257"/>
      <c r="B45" s="110" t="s">
        <v>70</v>
      </c>
      <c r="C45" s="109">
        <f t="shared" ref="C45:J45" si="0">SUM(C43:C44)</f>
        <v>0</v>
      </c>
      <c r="D45" s="84">
        <f t="shared" si="0"/>
        <v>0</v>
      </c>
      <c r="E45" s="84">
        <f t="shared" si="0"/>
        <v>0</v>
      </c>
      <c r="F45" s="84">
        <f t="shared" si="0"/>
        <v>0</v>
      </c>
      <c r="G45" s="84">
        <f t="shared" si="0"/>
        <v>0</v>
      </c>
      <c r="H45" s="84">
        <f t="shared" si="0"/>
        <v>0</v>
      </c>
      <c r="I45" s="84">
        <f t="shared" si="0"/>
        <v>0</v>
      </c>
      <c r="J45" s="85">
        <f t="shared" si="0"/>
        <v>0</v>
      </c>
      <c r="K45" s="64"/>
      <c r="L45" s="64"/>
      <c r="M45" s="64"/>
      <c r="N45" s="64"/>
    </row>
    <row r="46" spans="1:14" hidden="1" outlineLevel="1" x14ac:dyDescent="0.2">
      <c r="A46" s="257"/>
      <c r="B46" s="112" t="s">
        <v>71</v>
      </c>
      <c r="C46" s="111">
        <f>+C36*VLOOKUP(C7,PollingBytes,2)+C37*VLOOKUP(C7,PollingBytes,4)</f>
        <v>0</v>
      </c>
      <c r="D46" s="86">
        <f>+C36*VLOOKUP(C7,PollingBytes,5)+C37*VLOOKUP(C7,PollingBytes,7)</f>
        <v>0</v>
      </c>
      <c r="E46" s="86">
        <f>+E36*VLOOKUP(E7,PollingBytes,2)+E37*VLOOKUP(E7,PollingBytes,4)</f>
        <v>0</v>
      </c>
      <c r="F46" s="86">
        <f>+E36*VLOOKUP(E7,PollingBytes,5)+E37*VLOOKUP(E7,PollingBytes,7)</f>
        <v>0</v>
      </c>
      <c r="G46" s="86">
        <f>+G36*VLOOKUP(G7,PollingBytes,2)+G37*VLOOKUP(G7,PollingBytes,4)</f>
        <v>0</v>
      </c>
      <c r="H46" s="86">
        <f>+G36*VLOOKUP(G7,PollingBytes,5)+G37*VLOOKUP(G7,PollingBytes,7)</f>
        <v>0</v>
      </c>
      <c r="I46" s="86">
        <f>+I36*VLOOKUP(I7,PollingBytes,2)+I37*VLOOKUP(I7,PollingBytes,4)</f>
        <v>0</v>
      </c>
      <c r="J46" s="87">
        <f>+I36*VLOOKUP(I7,PollingBytes,5)+I37*VLOOKUP(I7,PollingBytes,7)</f>
        <v>0</v>
      </c>
      <c r="K46" s="64"/>
      <c r="L46" s="64"/>
      <c r="M46" s="64"/>
      <c r="N46" s="64"/>
    </row>
    <row r="47" spans="1:14" hidden="1" outlineLevel="1" x14ac:dyDescent="0.2">
      <c r="A47" s="257"/>
      <c r="B47" s="99" t="s">
        <v>72</v>
      </c>
      <c r="C47" s="102">
        <f>+C34*VLOOKUP(C7,PollingBytes,3)</f>
        <v>0</v>
      </c>
      <c r="D47" s="77">
        <f>+C34*VLOOKUP(C7,PollingBytes,6)</f>
        <v>0</v>
      </c>
      <c r="E47" s="77">
        <f>+E34*VLOOKUP(E7,PollingBytes,3)</f>
        <v>0</v>
      </c>
      <c r="F47" s="77">
        <f>+E34*VLOOKUP(E7,PollingBytes,6)</f>
        <v>0</v>
      </c>
      <c r="G47" s="77">
        <f>+G34*VLOOKUP(G7,PollingBytes,3)</f>
        <v>0</v>
      </c>
      <c r="H47" s="77">
        <f>+G34*VLOOKUP(G7,PollingBytes,6)</f>
        <v>0</v>
      </c>
      <c r="I47" s="77">
        <f>+I34*VLOOKUP(I7,PollingBytes,3)</f>
        <v>0</v>
      </c>
      <c r="J47" s="88">
        <f>+I34*VLOOKUP(I7,PollingBytes,6)</f>
        <v>0</v>
      </c>
      <c r="K47" s="64"/>
      <c r="L47" s="64"/>
      <c r="M47" s="64"/>
      <c r="N47" s="64"/>
    </row>
    <row r="48" spans="1:14" hidden="1" outlineLevel="1" x14ac:dyDescent="0.2">
      <c r="A48" s="257"/>
      <c r="B48" s="99" t="s">
        <v>73</v>
      </c>
      <c r="C48" s="102">
        <f>+C46*8/C20</f>
        <v>0</v>
      </c>
      <c r="D48" s="77">
        <f>+D46*8/C20</f>
        <v>0</v>
      </c>
      <c r="E48" s="77">
        <f>+E46*8/E20</f>
        <v>0</v>
      </c>
      <c r="F48" s="77">
        <f>+F46*8/E20</f>
        <v>0</v>
      </c>
      <c r="G48" s="77">
        <f>+G46*8/G20</f>
        <v>0</v>
      </c>
      <c r="H48" s="77">
        <f>+H46*8/G20</f>
        <v>0</v>
      </c>
      <c r="I48" s="77">
        <f>+I46*8/I20</f>
        <v>0</v>
      </c>
      <c r="J48" s="88">
        <f>+J46*8/I20</f>
        <v>0</v>
      </c>
      <c r="K48" s="64"/>
      <c r="L48" s="64"/>
      <c r="M48" s="64"/>
      <c r="N48" s="64"/>
    </row>
    <row r="49" spans="1:14" hidden="1" outlineLevel="1" x14ac:dyDescent="0.2">
      <c r="A49" s="257"/>
      <c r="B49" s="99" t="s">
        <v>74</v>
      </c>
      <c r="C49" s="102">
        <f>+C47*8/C21</f>
        <v>0</v>
      </c>
      <c r="D49" s="77">
        <f>+D47*8/C21</f>
        <v>0</v>
      </c>
      <c r="E49" s="77">
        <f>+E47*8/E21</f>
        <v>0</v>
      </c>
      <c r="F49" s="77">
        <f>+F47*8/E21</f>
        <v>0</v>
      </c>
      <c r="G49" s="77">
        <f>+G47*8/G21</f>
        <v>0</v>
      </c>
      <c r="H49" s="77">
        <f>+H47*8/G21</f>
        <v>0</v>
      </c>
      <c r="I49" s="77">
        <f>+I47*8/I21</f>
        <v>0</v>
      </c>
      <c r="J49" s="88">
        <f>+J47*8/I21</f>
        <v>0</v>
      </c>
      <c r="K49" s="64"/>
      <c r="L49" s="64"/>
      <c r="M49" s="64"/>
      <c r="N49" s="64"/>
    </row>
    <row r="50" spans="1:14" ht="13.5" hidden="1" outlineLevel="1" thickBot="1" x14ac:dyDescent="0.25">
      <c r="A50" s="258"/>
      <c r="B50" s="121" t="s">
        <v>75</v>
      </c>
      <c r="C50" s="122">
        <f t="shared" ref="C50:J50" si="1">SUM(C48:C49)</f>
        <v>0</v>
      </c>
      <c r="D50" s="122">
        <f t="shared" si="1"/>
        <v>0</v>
      </c>
      <c r="E50" s="122">
        <f t="shared" si="1"/>
        <v>0</v>
      </c>
      <c r="F50" s="122">
        <f t="shared" si="1"/>
        <v>0</v>
      </c>
      <c r="G50" s="122">
        <f t="shared" si="1"/>
        <v>0</v>
      </c>
      <c r="H50" s="122">
        <f t="shared" si="1"/>
        <v>0</v>
      </c>
      <c r="I50" s="122">
        <f t="shared" si="1"/>
        <v>0</v>
      </c>
      <c r="J50" s="156">
        <f t="shared" si="1"/>
        <v>0</v>
      </c>
      <c r="K50" s="64"/>
      <c r="L50" s="64"/>
      <c r="M50" s="64"/>
      <c r="N50" s="64"/>
    </row>
    <row r="51" spans="1:14" ht="13.5" collapsed="1" thickBot="1" x14ac:dyDescent="0.25">
      <c r="A51" s="259"/>
      <c r="B51" s="260"/>
      <c r="C51" s="260"/>
      <c r="D51" s="260"/>
      <c r="E51" s="260"/>
      <c r="F51" s="260"/>
      <c r="G51" s="260"/>
      <c r="H51" s="260"/>
      <c r="I51" s="260"/>
      <c r="J51" s="261"/>
      <c r="K51" s="64"/>
      <c r="L51" s="64"/>
      <c r="M51" s="64"/>
      <c r="N51" s="64"/>
    </row>
    <row r="52" spans="1:14" hidden="1" outlineLevel="1" x14ac:dyDescent="0.2">
      <c r="A52" s="256" t="s">
        <v>32</v>
      </c>
      <c r="B52" s="114" t="s">
        <v>76</v>
      </c>
      <c r="C52" s="115">
        <f>IFERROR(+(VLOOKUP(C7,CombinedCPU_SNMP_Poll,2)/C8)*(C32*VLOOKUP(C7,DiscoveryMultiThreadedCPU,3)+C37*VLOOKUP(C7,DiscoveryMultiThreadedCPU,4)+C38*VLOOKUP(C7,DiscoveryMultiThreadedCPU,5)),0)</f>
        <v>0</v>
      </c>
      <c r="D52" s="115">
        <f>IFERROR(+(VLOOKUP(C7,CombinedCPU_SNMP_Poll,2)/C8)*(C32*VLOOKUP(C7,DiscoveryMultiThreadedCPU,6)+C37*VLOOKUP(C7,DiscoveryMultiThreadedCPU,7)+C38*VLOOKUP(C7,DiscoveryMultiThreadedCPU,8)),0)</f>
        <v>0</v>
      </c>
      <c r="E52" s="115">
        <f>IFERROR(+(VLOOKUP(E7,CombinedCPU_SNMP_Poll,2)/E8)*(E32*VLOOKUP(E7,DiscoveryMultiThreadedCPU,3)+E37*VLOOKUP(E7,DiscoveryMultiThreadedCPU,4)+E38*VLOOKUP(E7,DiscoveryMultiThreadedCPU,5)),0)</f>
        <v>0</v>
      </c>
      <c r="F52" s="115">
        <f>IFERROR(+(VLOOKUP(E7,CombinedCPU_SNMP_Poll,2)/E8)*(E32*VLOOKUP(E7,DiscoveryMultiThreadedCPU,6)+E37*VLOOKUP(E7,DiscoveryMultiThreadedCPU,7)+E38*VLOOKUP(E7,DiscoveryMultiThreadedCPU,8)),0)</f>
        <v>0</v>
      </c>
      <c r="G52" s="115">
        <f>IFERROR(+(VLOOKUP(G7,CombinedCPU_SNMP_Poll,2)/G8)*(G32*VLOOKUP(G7,DiscoveryMultiThreadedCPU,3)+G37*VLOOKUP(G7,DiscoveryMultiThreadedCPU,4)+G38*VLOOKUP(G7,DiscoveryMultiThreadedCPU,5)),0)</f>
        <v>0</v>
      </c>
      <c r="H52" s="115">
        <f>IFERROR(+(VLOOKUP(G7,CombinedCPU_SNMP_Poll,2)/G8)*(G32*VLOOKUP(G7,DiscoveryMultiThreadedCPU,6)+G37*VLOOKUP(G7,DiscoveryMultiThreadedCPU,7)+G38*VLOOKUP(G7,DiscoveryMultiThreadedCPU,8)),0)</f>
        <v>0</v>
      </c>
      <c r="I52" s="115">
        <f>IFERROR(+(VLOOKUP(I7,CombinedCPU_SNMP_Poll,2)/I8)*(I32*VLOOKUP(I7,DiscoveryMultiThreadedCPU,3)+I37*VLOOKUP(I7,DiscoveryMultiThreadedCPU,4)+I38*VLOOKUP(I7,DiscoveryMultiThreadedCPU,5)),0)</f>
        <v>0</v>
      </c>
      <c r="J52" s="116">
        <f>IFERROR(+(VLOOKUP(I7,CombinedCPU_SNMP_Poll,2)/I8)*(I32*VLOOKUP(I7,DiscoveryMultiThreadedCPU,6)+I37*VLOOKUP(I7,DiscoveryMultiThreadedCPU,7)+I38*VLOOKUP(I7,DiscoveryMultiThreadedCPU,8)),0)</f>
        <v>0</v>
      </c>
      <c r="K52" s="64"/>
      <c r="L52" s="64"/>
      <c r="M52" s="64"/>
      <c r="N52" s="64"/>
    </row>
    <row r="53" spans="1:14" hidden="1" outlineLevel="1" x14ac:dyDescent="0.2">
      <c r="A53" s="257"/>
      <c r="B53" s="99" t="s">
        <v>77</v>
      </c>
      <c r="C53" s="102">
        <f>IFERROR(+(VLOOKUP(C7,CombinedCPU_SNMP_Poll,2)/C8)*(C32*VLOOKUP(C7,DiscoverySingleThreadedCPU,3)+C37*VLOOKUP(C7,DiscoverySingleThreadedCPU,4)+C38*VLOOKUP(C7,DiscoverySingleThreadedCPU,5)),0)</f>
        <v>0</v>
      </c>
      <c r="D53" s="77">
        <f>IFERROR(+(VLOOKUP(C7,CombinedCPU_SNMP_Poll,2)/C8)*(C32*VLOOKUP(C7,DiscoverySingleThreadedCPU,6)+C37*VLOOKUP(C7,DiscoverySingleThreadedCPU,7)+C38*VLOOKUP(C7,DiscoverySingleThreadedCPU,8)),0)</f>
        <v>0</v>
      </c>
      <c r="E53" s="77">
        <f>IFERROR(+(VLOOKUP(E7,CombinedCPU_SNMP_Poll,2)/E8)*(E32*VLOOKUP(E7,DiscoverySingleThreadedCPU,3)+E37*VLOOKUP(E7,DiscoverySingleThreadedCPU,4)+E38*VLOOKUP(E7,DiscoverySingleThreadedCPU,5)),0)</f>
        <v>0</v>
      </c>
      <c r="F53" s="77">
        <f>IFERROR(+(VLOOKUP(E7,CombinedCPU_SNMP_Poll,2)/E8)*(E32*VLOOKUP(E7,DiscoverySingleThreadedCPU,6)+E37*VLOOKUP(E7,DiscoverySingleThreadedCPU,7)+E38*VLOOKUP(E7,DiscoverySingleThreadedCPU,8)),0)</f>
        <v>0</v>
      </c>
      <c r="G53" s="77">
        <f>IFERROR(+(VLOOKUP(G7,CombinedCPU_SNMP_Poll,2)/G8)*(G32*VLOOKUP(G7,DiscoverySingleThreadedCPU,3)+G37*VLOOKUP(G7,DiscoverySingleThreadedCPU,4)+G38*VLOOKUP(G7,DiscoverySingleThreadedCPU,5)),0)</f>
        <v>0</v>
      </c>
      <c r="H53" s="77">
        <f>IFERROR(+(VLOOKUP(G7,CombinedCPU_SNMP_Poll,2)/G8)*(G32*VLOOKUP(G7,DiscoverySingleThreadedCPU,6)+G37*VLOOKUP(G7,DiscoverySingleThreadedCPU,7)+G38*VLOOKUP(G7,DiscoverySingleThreadedCPU,8)),0)</f>
        <v>0</v>
      </c>
      <c r="I53" s="77">
        <f>IFERROR(+(VLOOKUP(I7,CombinedCPU_SNMP_Poll,2)/I8)*(I32*VLOOKUP(I7,DiscoverySingleThreadedCPU,3)+I37*VLOOKUP(I7,DiscoverySingleThreadedCPU,4)+I38*VLOOKUP(I7,DiscoverySingleThreadedCPU,5)),0)</f>
        <v>0</v>
      </c>
      <c r="J53" s="88">
        <f>IFERROR(+(VLOOKUP(I7,CombinedCPU_SNMP_Poll,2)/I8)*(I32*VLOOKUP(I7,DiscoverySingleThreadedCPU,6)+I37*VLOOKUP(I7,DiscoverySingleThreadedCPU,7)+I38*VLOOKUP(I7,DiscoverySingleThreadedCPU,8)),0)</f>
        <v>0</v>
      </c>
      <c r="K53" s="64"/>
      <c r="L53" s="64"/>
      <c r="M53" s="64"/>
      <c r="N53" s="64"/>
    </row>
    <row r="54" spans="1:14" hidden="1" outlineLevel="1" x14ac:dyDescent="0.2">
      <c r="A54" s="257"/>
      <c r="B54" s="99" t="s">
        <v>78</v>
      </c>
      <c r="C54" s="102">
        <f>IFERROR(+(VLOOKUP(C7,CombinedCPU_SNMP_Poll,2)/C8)*(C32*VLOOKUP(C7,PostProcessing,2)+C37*VLOOKUP(C7,PostProcessing,3)+C38*VLOOKUP(C7,PostProcessing,4)),0)</f>
        <v>0</v>
      </c>
      <c r="D54" s="77">
        <f>IFERROR(+(VLOOKUP(C7,CombinedCPU_SNMP_Poll,2)/C8)*(C32*VLOOKUP(C7,PostProcessing,5)+C37*VLOOKUP(C7,PostProcessing,6)+C38*VLOOKUP(C7,PostProcessing,7)),0)</f>
        <v>0</v>
      </c>
      <c r="E54" s="77">
        <f>IFERROR(+(VLOOKUP(E7,CombinedCPU_SNMP_Poll,2)/E8)*(E32*VLOOKUP(E7,PostProcessing,2)+E37*VLOOKUP(E7,PostProcessing,3)+E38*VLOOKUP(E7,PostProcessing,4)),0)</f>
        <v>0</v>
      </c>
      <c r="F54" s="77">
        <f>IFERROR(+(VLOOKUP(E7,CombinedCPU_SNMP_Poll,2)/E8)*(E32*VLOOKUP(E7,PostProcessing,5)+E37*VLOOKUP(E7,PostProcessing,6)+E38*VLOOKUP(E7,PostProcessing,7)),0)</f>
        <v>0</v>
      </c>
      <c r="G54" s="77">
        <f>IFERROR(+(VLOOKUP(G7,CombinedCPU_SNMP_Poll,2)/G8)*(G32*VLOOKUP(G7,PostProcessing,2)+G37*VLOOKUP(G7,PostProcessing,3)+G38*VLOOKUP(G7,PostProcessing,4)),0)</f>
        <v>0</v>
      </c>
      <c r="H54" s="77">
        <f>IFERROR(+(VLOOKUP(G7,CombinedCPU_SNMP_Poll,2)/G8)*(G32*VLOOKUP(G7,PostProcessing,5)+G37*VLOOKUP(G7,PostProcessing,6)+G38*VLOOKUP(G7,PostProcessing,7)),0)</f>
        <v>0</v>
      </c>
      <c r="I54" s="77">
        <f>IFERROR(+(VLOOKUP(I7,CombinedCPU_SNMP_Poll,2)/I8)*(I32*VLOOKUP(I7,PostProcessing,2)+I37*VLOOKUP(I7,PostProcessing,3)+I38*VLOOKUP(I7,PostProcessing,4)),0)</f>
        <v>0</v>
      </c>
      <c r="J54" s="88">
        <f>IFERROR(+(VLOOKUP(I7,CombinedCPU_SNMP_Poll,2)/I8)*(I32*VLOOKUP(I7,PostProcessing,5)+I37*VLOOKUP(I7,PostProcessing,6)+I38*VLOOKUP(I7,PostProcessing,7)),0)</f>
        <v>0</v>
      </c>
      <c r="K54" s="64"/>
      <c r="L54" s="64"/>
      <c r="M54" s="64"/>
      <c r="N54" s="64"/>
    </row>
    <row r="55" spans="1:14" hidden="1" outlineLevel="1" x14ac:dyDescent="0.2">
      <c r="A55" s="257"/>
      <c r="B55" s="99" t="s">
        <v>79</v>
      </c>
      <c r="C55" s="102">
        <f>IFERROR(+(VLOOKUP(C7,CombinedCPU_SNMP_Poll,2)/C8)*(C32*VLOOKUP(C7,Reconfigure,2)+C37*VLOOKUP(C7,Reconfigure,3)+C38*VLOOKUP(C7,Reconfigure,4)),0)</f>
        <v>0</v>
      </c>
      <c r="D55" s="77">
        <f>IFERROR(+(VLOOKUP(C7,CombinedCPU_SNMP_Poll,2)/C8)*(C32*VLOOKUP(C7,Reconfigure,5)+C37*VLOOKUP(C7,Reconfigure,6)+C38*VLOOKUP(C7,Reconfigure,7)),0)</f>
        <v>0</v>
      </c>
      <c r="E55" s="77">
        <f>IFERROR(+(VLOOKUP(E7,CombinedCPU_SNMP_Poll,2)/E8)*(E32*VLOOKUP(E7,Reconfigure,2)+E37*VLOOKUP(E7,Reconfigure,3)+E38*VLOOKUP(E7,Reconfigure,4)),0)</f>
        <v>0</v>
      </c>
      <c r="F55" s="77">
        <f>IFERROR(+(VLOOKUP(E7,CombinedCPU_SNMP_Poll,2)/E8)*(E32*VLOOKUP(E7,Reconfigure,5)+E37*VLOOKUP(E7,Reconfigure,6)+E38*VLOOKUP(E7,Reconfigure,7)),0)</f>
        <v>0</v>
      </c>
      <c r="G55" s="77">
        <f>IFERROR(+(VLOOKUP(G7,CombinedCPU_SNMP_Poll,2)/G8)*(G32*VLOOKUP(G7,Reconfigure,2)+G37*VLOOKUP(G7,Reconfigure,3)+G38*VLOOKUP(G7,Reconfigure,4)),0)</f>
        <v>0</v>
      </c>
      <c r="H55" s="77">
        <f>IFERROR(+(VLOOKUP(G7,CombinedCPU_SNMP_Poll,2)/G8)*(G32*VLOOKUP(G7,Reconfigure,5)+G37*VLOOKUP(G7,Reconfigure,6)+G38*VLOOKUP(G7,Reconfigure,7)),0)</f>
        <v>0</v>
      </c>
      <c r="I55" s="77">
        <f>IFERROR(+(VLOOKUP(I7,CombinedCPU_SNMP_Poll,2)/I8)*(I32*VLOOKUP(I7,Reconfigure,2)+I37*VLOOKUP(I7,Reconfigure,3)+I38*VLOOKUP(I7,Reconfigure,4)),0)</f>
        <v>0</v>
      </c>
      <c r="J55" s="88">
        <f>IFERROR(+(VLOOKUP(I7,CombinedCPU_SNMP_Poll,2)/I8)*(I32*VLOOKUP(I7,Reconfigure,5)+I37*VLOOKUP(I7,Reconfigure,6)+I38*VLOOKUP(I7,Reconfigure,7)),0)</f>
        <v>0</v>
      </c>
      <c r="K55" s="64"/>
      <c r="L55" s="64"/>
      <c r="M55" s="64"/>
      <c r="N55" s="64"/>
    </row>
    <row r="56" spans="1:14" hidden="1" outlineLevel="1" x14ac:dyDescent="0.2">
      <c r="A56" s="257"/>
      <c r="B56" s="99" t="s">
        <v>80</v>
      </c>
      <c r="C56" s="102">
        <f>IFERROR(+(VLOOKUP(C7,CombinedCPU_SNMP_Poll,2)/C8)*(C32*VLOOKUP(C7,OfflineNewMatrix,2)+C37*VLOOKUP(C7,OfflineNewMatrix,3)+C38*VLOOKUP(C7,OfflineNewMatrix,4)),0)</f>
        <v>0</v>
      </c>
      <c r="D56" s="77">
        <f>IFERROR(+(VLOOKUP(C7,CombinedCPU_SNMP_Poll,2)/C8)*(C32*VLOOKUP(C7,OfflineNewMatrix,5)+C37*VLOOKUP(C7,OfflineNewMatrix,6)+C38*VLOOKUP(C7,OfflineNewMatrix,7)),0)</f>
        <v>0</v>
      </c>
      <c r="E56" s="77">
        <f>IFERROR(+(VLOOKUP(E7,CombinedCPU_SNMP_Poll,2)/E8)*(E32*VLOOKUP(E7,OfflineNewMatrix,2)+E37*VLOOKUP(E7,OfflineNewMatrix,3)+E38*VLOOKUP(E7,OfflineNewMatrix,4)),0)</f>
        <v>0</v>
      </c>
      <c r="F56" s="77">
        <f>IFERROR(+(VLOOKUP(E7,CombinedCPU_SNMP_Poll,2)/E8)*(E32*VLOOKUP(E7,OfflineNewMatrix,5)+E37*VLOOKUP(E7,OfflineNewMatrix,6)+E38*VLOOKUP(E7,OfflineNewMatrix,7)),0)</f>
        <v>0</v>
      </c>
      <c r="G56" s="77">
        <f>IFERROR(+(VLOOKUP(G7,CombinedCPU_SNMP_Poll,2)/G8)*(G32*VLOOKUP(G7,OfflineNewMatrix,2)+G37*VLOOKUP(G7,OfflineNewMatrix,3)+G38*VLOOKUP(G7,OfflineNewMatrix,4)),0)</f>
        <v>0</v>
      </c>
      <c r="H56" s="77">
        <f>IFERROR(+(VLOOKUP(G7,CombinedCPU_SNMP_Poll,2)/G8)*(G32*VLOOKUP(G7,OfflineNewMatrix,5)+G37*VLOOKUP(G7,OfflineNewMatrix,6)+G38*VLOOKUP(G7,OfflineNewMatrix,7)),0)</f>
        <v>0</v>
      </c>
      <c r="I56" s="77">
        <f>IFERROR(+(VLOOKUP(I7,CombinedCPU_SNMP_Poll,2)/I8)*(I32*VLOOKUP(I7,OfflineNewMatrix,2)+I37*VLOOKUP(I7,OfflineNewMatrix,3)+I38*VLOOKUP(I7,OfflineNewMatrix,4)),0)</f>
        <v>0</v>
      </c>
      <c r="J56" s="88">
        <f>IFERROR(+(VLOOKUP(I7,CombinedCPU_SNMP_Poll,2)/I8)*(I32*VLOOKUP(I7,OfflineNewMatrix,5)+I37*VLOOKUP(I7,OfflineNewMatrix,6)+I38*VLOOKUP(I7,OfflineNewMatrix,7)),0)</f>
        <v>0</v>
      </c>
      <c r="K56" s="64"/>
      <c r="L56" s="64"/>
      <c r="M56" s="64"/>
      <c r="N56" s="64"/>
    </row>
    <row r="57" spans="1:14" hidden="1" outlineLevel="1" x14ac:dyDescent="0.2">
      <c r="A57" s="257"/>
      <c r="B57" s="99" t="s">
        <v>81</v>
      </c>
      <c r="C57" s="102">
        <f>IFERROR(+(VLOOKUP(C7,CombinedCPU_SNMP_Poll,2)/C8)*(C32*VLOOKUP(C7,NewMatrix,2)+C37*VLOOKUP(C7,NewMatrix,3)+C38*VLOOKUP(C7,NewMatrix,4)),0)</f>
        <v>0</v>
      </c>
      <c r="D57" s="77">
        <f>IFERROR(+(VLOOKUP(C7,CombinedCPU_SNMP_Poll,2)/C8)*(C32*VLOOKUP(C7,NewMatrix,5)+C37*VLOOKUP(C7,NewMatrix,6)+C38*VLOOKUP(C7,NewMatrix,7)),0)</f>
        <v>0</v>
      </c>
      <c r="E57" s="77">
        <f>IFERROR(+(VLOOKUP(E7,CombinedCPU_SNMP_Poll,2)/E8)*(E32*VLOOKUP(E7,NewMatrix,2)+E37*VLOOKUP(E7,NewMatrix,3)+E38*VLOOKUP(E7,NewMatrix,4)),0)</f>
        <v>0</v>
      </c>
      <c r="F57" s="77">
        <f>IFERROR(+(VLOOKUP(E7,CombinedCPU_SNMP_Poll,2)/E8)*(E32*VLOOKUP(E7,NewMatrix,5)+E37*VLOOKUP(E7,NewMatrix,6)+E38*VLOOKUP(E7,NewMatrix,7)),0)</f>
        <v>0</v>
      </c>
      <c r="G57" s="77">
        <f>IFERROR(+(VLOOKUP(G7,CombinedCPU_SNMP_Poll,2)/G8)*(G32*VLOOKUP(G7,NewMatrix,2)+G37*VLOOKUP(G7,NewMatrix,3)+G38*VLOOKUP(G7,NewMatrix,4)),0)</f>
        <v>0</v>
      </c>
      <c r="H57" s="77">
        <f>IFERROR(+(VLOOKUP(G7,CombinedCPU_SNMP_Poll,2)/G8)*(G32*VLOOKUP(G7,NewMatrix,5)+G37*VLOOKUP(G7,NewMatrix,6)+G38*VLOOKUP(G7,NewMatrix,7)),0)</f>
        <v>0</v>
      </c>
      <c r="I57" s="77">
        <f>IFERROR(+(VLOOKUP(I7,CombinedCPU_SNMP_Poll,2)/I8)*(I32*VLOOKUP(I7,NewMatrix,2)+I37*VLOOKUP(I7,NewMatrix,3)+I38*VLOOKUP(I7,NewMatrix,4)),0)</f>
        <v>0</v>
      </c>
      <c r="J57" s="88">
        <f>IFERROR(+(VLOOKUP(I7,CombinedCPU_SNMP_Poll,2)/I8)*(I32*VLOOKUP(I7,NewMatrix,5)+I37*VLOOKUP(I7,NewMatrix,6)+I38*VLOOKUP(I7,NewMatrix,7)),0)</f>
        <v>0</v>
      </c>
      <c r="K57" s="64"/>
      <c r="L57" s="64"/>
      <c r="M57" s="64"/>
      <c r="N57" s="64"/>
    </row>
    <row r="58" spans="1:14" hidden="1" outlineLevel="1" x14ac:dyDescent="0.2">
      <c r="A58" s="257"/>
      <c r="B58" s="123" t="s">
        <v>82</v>
      </c>
      <c r="C58" s="77">
        <f>IFERROR(+(VLOOKUP(C7,CombinedCPU_SNMP_Poll,2)/C8)*(C32*VLOOKUP(C7,TopoSync,2)+C37*VLOOKUP(C7,TopoSync,3)+C38*VLOOKUP(C7,TopoSync,4)),0)</f>
        <v>0</v>
      </c>
      <c r="D58" s="77">
        <f>IFERROR(+(VLOOKUP(C7,CombinedCPU_SNMP_Poll,2)/C8)*(C32*VLOOKUP(C7,TopoSync,5)+C37*VLOOKUP(C7,TopoSync,6)+C38*VLOOKUP(C7,TopoSync,7)),0)</f>
        <v>0</v>
      </c>
      <c r="E58" s="77">
        <f>IFERROR(+(VLOOKUP(E7,CombinedCPU_SNMP_Poll,2)/E8)*(E32*VLOOKUP(E7,TopoSync,2)+E37*VLOOKUP(E7,TopoSync,3)+E38*VLOOKUP(E7,TopoSync,4)),0)</f>
        <v>0</v>
      </c>
      <c r="F58" s="77">
        <f>IFERROR(+(VLOOKUP(E7,CombinedCPU_SNMP_Poll,2)/E8)*(E32*VLOOKUP(E7,TopoSync,5)+E37*VLOOKUP(E7,TopoSync,6)+E38*VLOOKUP(E7,TopoSync,7)),0)</f>
        <v>0</v>
      </c>
      <c r="G58" s="77">
        <f>IFERROR(+(VLOOKUP(G7,CombinedCPU_SNMP_Poll,2)/G8)*(G32*VLOOKUP(G7,TopoSync,2)+G37*VLOOKUP(G7,TopoSync,3)+G38*VLOOKUP(G7,TopoSync,4)),0)</f>
        <v>0</v>
      </c>
      <c r="H58" s="77">
        <f>IFERROR(+(VLOOKUP(G7,CombinedCPU_SNMP_Poll,2)/G8)*(G32*VLOOKUP(G7,TopoSync,5)+G37*VLOOKUP(G7,TopoSync,6)+G38*VLOOKUP(G7,TopoSync,7)),0)</f>
        <v>0</v>
      </c>
      <c r="I58" s="77">
        <f>IFERROR(+(VLOOKUP(I7,CombinedCPU_SNMP_Poll,2)/I8)*(I32*VLOOKUP(I7,TopoSync,2)+I37*VLOOKUP(I7,TopoSync,3)+I38*VLOOKUP(I7,TopoSync,4)),0)</f>
        <v>0</v>
      </c>
      <c r="J58" s="88">
        <f>IFERROR(+(VLOOKUP(I7,CombinedCPU_SNMP_Poll,2)/I8)*(I32*VLOOKUP(I7,TopoSync,5)+I37*VLOOKUP(I7,TopoSync,6)+I38*VLOOKUP(I7,TopoSync,7)),0)</f>
        <v>0</v>
      </c>
      <c r="K58" s="64"/>
      <c r="L58" s="64"/>
      <c r="M58" s="64"/>
      <c r="N58" s="64"/>
    </row>
    <row r="59" spans="1:14" ht="13.5" hidden="1" outlineLevel="1" thickBot="1" x14ac:dyDescent="0.25">
      <c r="A59" s="258"/>
      <c r="B59" s="113" t="s">
        <v>83</v>
      </c>
      <c r="C59" s="134">
        <f>+C42-C45</f>
        <v>0</v>
      </c>
      <c r="D59" s="134">
        <f>+C42-D45</f>
        <v>0</v>
      </c>
      <c r="E59" s="134">
        <f>+E42-E45</f>
        <v>0</v>
      </c>
      <c r="F59" s="134">
        <f>+E42-F45</f>
        <v>0</v>
      </c>
      <c r="G59" s="134">
        <f>+G42-G45</f>
        <v>0</v>
      </c>
      <c r="H59" s="134">
        <f>+G42-H45</f>
        <v>0</v>
      </c>
      <c r="I59" s="134">
        <f>+I42-I45</f>
        <v>0</v>
      </c>
      <c r="J59" s="135">
        <f>+I42-J45</f>
        <v>0</v>
      </c>
      <c r="K59" s="64"/>
      <c r="L59" s="64"/>
      <c r="M59" s="64"/>
      <c r="N59" s="64"/>
    </row>
    <row r="60" spans="1:14" ht="13.5" collapsed="1" thickBot="1" x14ac:dyDescent="0.25">
      <c r="A60" s="259"/>
      <c r="B60" s="260"/>
      <c r="C60" s="260"/>
      <c r="D60" s="260"/>
      <c r="E60" s="260"/>
      <c r="F60" s="260"/>
      <c r="G60" s="260"/>
      <c r="H60" s="260"/>
      <c r="I60" s="260"/>
      <c r="J60" s="261"/>
      <c r="K60" s="64"/>
      <c r="L60" s="64"/>
      <c r="M60" s="64"/>
      <c r="N60" s="64"/>
    </row>
    <row r="61" spans="1:14" hidden="1" outlineLevel="1" x14ac:dyDescent="0.2">
      <c r="A61" s="286" t="s">
        <v>84</v>
      </c>
      <c r="B61" s="104" t="s">
        <v>85</v>
      </c>
      <c r="C61" s="136">
        <v>3</v>
      </c>
      <c r="D61" s="137">
        <v>3</v>
      </c>
      <c r="E61" s="137">
        <v>3</v>
      </c>
      <c r="F61" s="137">
        <v>3</v>
      </c>
      <c r="G61" s="137">
        <v>3</v>
      </c>
      <c r="H61" s="137">
        <v>3</v>
      </c>
      <c r="I61" s="137">
        <v>3</v>
      </c>
      <c r="J61" s="138">
        <v>3</v>
      </c>
      <c r="K61" s="64"/>
      <c r="L61" s="64"/>
      <c r="M61" s="64"/>
      <c r="N61" s="64"/>
    </row>
    <row r="62" spans="1:14" hidden="1" outlineLevel="1" x14ac:dyDescent="0.2">
      <c r="A62" s="287"/>
      <c r="B62" s="99" t="s">
        <v>86</v>
      </c>
      <c r="C62" s="102" t="str">
        <f t="shared" ref="C62:J62" si="2">IF(C59&lt;=0,
"",
C61*C52/C59)</f>
        <v/>
      </c>
      <c r="D62" s="77" t="str">
        <f t="shared" si="2"/>
        <v/>
      </c>
      <c r="E62" s="77" t="str">
        <f t="shared" si="2"/>
        <v/>
      </c>
      <c r="F62" s="77" t="str">
        <f t="shared" si="2"/>
        <v/>
      </c>
      <c r="G62" s="77" t="str">
        <f t="shared" si="2"/>
        <v/>
      </c>
      <c r="H62" s="77" t="str">
        <f t="shared" si="2"/>
        <v/>
      </c>
      <c r="I62" s="77" t="str">
        <f t="shared" si="2"/>
        <v/>
      </c>
      <c r="J62" s="88" t="str">
        <f t="shared" si="2"/>
        <v/>
      </c>
      <c r="K62" s="64"/>
      <c r="L62" s="64"/>
      <c r="M62" s="64"/>
      <c r="N62" s="64"/>
    </row>
    <row r="63" spans="1:14" hidden="1" outlineLevel="1" x14ac:dyDescent="0.2">
      <c r="A63" s="287"/>
      <c r="B63" s="99" t="s">
        <v>87</v>
      </c>
      <c r="C63" s="102" t="str">
        <f>IF(C59&lt;=0,
      "",
      IF(C59&lt;1,
         C53/C59,
         C53))</f>
        <v/>
      </c>
      <c r="D63" s="77" t="str">
        <f>IF(D59&lt;=0,
      "",
      IF(D59&lt;1,
         D53/D59,
         D53))</f>
        <v/>
      </c>
      <c r="E63" s="77" t="str">
        <f>IF(E59&lt;=0,"",
      IF(E59&lt;1,
         E53/E59,
         E53))</f>
        <v/>
      </c>
      <c r="F63" s="77" t="str">
        <f>IF(F59&lt;=0,
      "",
      IF(F59&lt;1,
         F53/F59,
         F53))</f>
        <v/>
      </c>
      <c r="G63" s="77" t="str">
        <f>IF(G59&lt;=0,
      "",
      IF(G59&lt;1,
         G53/G59,
         G53))</f>
        <v/>
      </c>
      <c r="H63" s="77" t="str">
        <f>IF(H59&lt;=0,
      "",
      IF(H59&lt;1,
         H53/H59,
         H53))</f>
        <v/>
      </c>
      <c r="I63" s="77" t="str">
        <f>IF(I59&lt;=0,
      "",
      IF(I59&lt;1,
         I53/I59,
         I53))</f>
        <v/>
      </c>
      <c r="J63" s="88" t="str">
        <f>IF(J59&lt;=0,
      "",
      IF(J59&lt;1,
         J53/J59,
         J53))</f>
        <v/>
      </c>
      <c r="K63" s="64"/>
      <c r="L63" s="64"/>
      <c r="M63" s="64"/>
      <c r="N63" s="64"/>
    </row>
    <row r="64" spans="1:14" hidden="1" outlineLevel="1" x14ac:dyDescent="0.2">
      <c r="A64" s="287"/>
      <c r="B64" s="118" t="s">
        <v>88</v>
      </c>
      <c r="C64" s="131">
        <f t="shared" ref="C64:J64" si="3">IFERROR(+C62+C63,0)</f>
        <v>0</v>
      </c>
      <c r="D64" s="132">
        <f t="shared" si="3"/>
        <v>0</v>
      </c>
      <c r="E64" s="132">
        <f t="shared" si="3"/>
        <v>0</v>
      </c>
      <c r="F64" s="132">
        <f t="shared" si="3"/>
        <v>0</v>
      </c>
      <c r="G64" s="132">
        <f t="shared" si="3"/>
        <v>0</v>
      </c>
      <c r="H64" s="132">
        <f t="shared" si="3"/>
        <v>0</v>
      </c>
      <c r="I64" s="132">
        <f t="shared" si="3"/>
        <v>0</v>
      </c>
      <c r="J64" s="133">
        <f t="shared" si="3"/>
        <v>0</v>
      </c>
      <c r="K64" s="64"/>
      <c r="L64" s="64"/>
      <c r="M64" s="64">
        <f>VLOOKUP(C7,DiscoveryBytes,2)</f>
        <v>841.44778226999995</v>
      </c>
      <c r="N64" s="64"/>
    </row>
    <row r="65" spans="1:14" hidden="1" outlineLevel="1" x14ac:dyDescent="0.2">
      <c r="A65" s="287"/>
      <c r="B65" s="99" t="s">
        <v>89</v>
      </c>
      <c r="C65" s="102" t="str">
        <f>IF(C42&lt;=C45,
      "",
      IF(C42-C45&lt;1,
         C54/(C42-C45),
         C54))</f>
        <v/>
      </c>
      <c r="D65" s="77" t="str">
        <f>IF(C42&lt;=D45,
      "",
      IF(C42-D45&lt;1,
         D54/(C42-D45),
         D54))</f>
        <v/>
      </c>
      <c r="E65" s="77" t="str">
        <f>IF(E42&lt;=E45,
      "",
      IF(E42-E45&lt;1,
         E54/(E42-E45),
         E54))</f>
        <v/>
      </c>
      <c r="F65" s="77" t="str">
        <f>IF(E42&lt;=F45,
      "",
      IF(E42-F45&lt;1,
         F54/(E42-F45),
         F54))</f>
        <v/>
      </c>
      <c r="G65" s="77" t="str">
        <f>IF(G42&lt;=G45,
      "",
      IF(G42-G45&lt;1,
         G54/(G42-G45),
         G54))</f>
        <v/>
      </c>
      <c r="H65" s="77" t="str">
        <f>IF(G42&lt;=H45,
      "",
      IF(G42-H45&lt;1,
         H54/(G42-H45),
         H54))</f>
        <v/>
      </c>
      <c r="I65" s="77" t="str">
        <f>IF(I42&lt;=I45,
      "",
      IF(I42-I45&lt;1,
         I54/(I42-I45),
         I54))</f>
        <v/>
      </c>
      <c r="J65" s="88" t="str">
        <f>IF(I42&lt;=J45,
      "",
      IF(I42-J45&lt;1,
         J54/(I42-J45),
         J54))</f>
        <v/>
      </c>
      <c r="K65" s="64"/>
      <c r="L65" s="64"/>
      <c r="M65" s="64"/>
      <c r="N65" s="64"/>
    </row>
    <row r="66" spans="1:14" hidden="1" outlineLevel="1" x14ac:dyDescent="0.2">
      <c r="A66" s="287"/>
      <c r="B66" s="99" t="s">
        <v>90</v>
      </c>
      <c r="C66" s="102" t="str">
        <f t="shared" ref="C66:J66" si="4">IF(C59&lt;=0,
      "",
      IF(C59&lt;1,
         C55/C59,
         C55))</f>
        <v/>
      </c>
      <c r="D66" s="77" t="str">
        <f t="shared" si="4"/>
        <v/>
      </c>
      <c r="E66" s="77" t="str">
        <f t="shared" si="4"/>
        <v/>
      </c>
      <c r="F66" s="77" t="str">
        <f t="shared" si="4"/>
        <v/>
      </c>
      <c r="G66" s="77" t="str">
        <f t="shared" si="4"/>
        <v/>
      </c>
      <c r="H66" s="77" t="str">
        <f t="shared" si="4"/>
        <v/>
      </c>
      <c r="I66" s="77" t="str">
        <f t="shared" si="4"/>
        <v/>
      </c>
      <c r="J66" s="88" t="str">
        <f t="shared" si="4"/>
        <v/>
      </c>
      <c r="K66" s="64"/>
      <c r="L66" s="64"/>
      <c r="M66" s="64"/>
      <c r="N66" s="64"/>
    </row>
    <row r="67" spans="1:14" hidden="1" outlineLevel="1" x14ac:dyDescent="0.2">
      <c r="A67" s="287"/>
      <c r="B67" s="99" t="s">
        <v>91</v>
      </c>
      <c r="C67" s="102" t="str">
        <f>IF(C42&lt;=C45,
      "",
      IF(C42-C45&lt;1,
         C56/(C42-C45),
         C56))</f>
        <v/>
      </c>
      <c r="D67" s="77" t="str">
        <f>IF(C42&lt;=D45,
      "",
      IF(C42-D45&lt;1,
         D56/(C42-D45),
         D56))</f>
        <v/>
      </c>
      <c r="E67" s="77" t="str">
        <f>IF(E42&lt;=E45,
      "",
      IF(E42-E45&lt;1,
         E56/(E42-E45),
         E56))</f>
        <v/>
      </c>
      <c r="F67" s="77" t="str">
        <f>IF(E42&lt;=F45,
      "",
      IF(E42-F45&lt;1,
         F56/(E42-F45),
         F56))</f>
        <v/>
      </c>
      <c r="G67" s="77" t="str">
        <f>IF(G42&lt;=G45,
      "",
      IF(G42-G45&lt;1,
         G56/(G42-G45),
         G56))</f>
        <v/>
      </c>
      <c r="H67" s="77" t="str">
        <f>IF(G42&lt;=H45,
      "",
      IF(G42-H45&lt;1,
         H56/(G42-H45),
         H56))</f>
        <v/>
      </c>
      <c r="I67" s="77" t="str">
        <f>IF(I42&lt;=I45,
      "",
      IF(I42-I45&lt;1,
         I56/(I42-I45),
         I56))</f>
        <v/>
      </c>
      <c r="J67" s="88" t="str">
        <f>IF(I42&lt;=J45,
      "",
      IF(I42-J45&lt;1,
         J56/(I42-J45),
         J56))</f>
        <v/>
      </c>
      <c r="K67" s="64"/>
      <c r="L67" s="64"/>
      <c r="M67" s="64"/>
      <c r="N67" s="64"/>
    </row>
    <row r="68" spans="1:14" hidden="1" outlineLevel="1" x14ac:dyDescent="0.2">
      <c r="A68" s="287"/>
      <c r="B68" s="99" t="s">
        <v>92</v>
      </c>
      <c r="C68" s="102" t="str">
        <f t="shared" ref="C68:J68" si="5">IF(C59&lt;=0,
      "",
      IF(C59&lt;1,
         C57/C59,
         C57))</f>
        <v/>
      </c>
      <c r="D68" s="77" t="str">
        <f t="shared" si="5"/>
        <v/>
      </c>
      <c r="E68" s="77" t="str">
        <f t="shared" si="5"/>
        <v/>
      </c>
      <c r="F68" s="77" t="str">
        <f t="shared" si="5"/>
        <v/>
      </c>
      <c r="G68" s="77" t="str">
        <f t="shared" si="5"/>
        <v/>
      </c>
      <c r="H68" s="77" t="str">
        <f t="shared" si="5"/>
        <v/>
      </c>
      <c r="I68" s="77" t="str">
        <f t="shared" si="5"/>
        <v/>
      </c>
      <c r="J68" s="88" t="str">
        <f t="shared" si="5"/>
        <v/>
      </c>
      <c r="K68" s="64"/>
      <c r="L68" s="64"/>
      <c r="M68" s="64"/>
      <c r="N68" s="64"/>
    </row>
    <row r="69" spans="1:14" hidden="1" outlineLevel="1" x14ac:dyDescent="0.2">
      <c r="A69" s="287"/>
      <c r="B69" s="99" t="s">
        <v>93</v>
      </c>
      <c r="C69" s="102" t="str">
        <f>IF(C59&lt;=0,
      "",
      IF(C59&lt;1,
         C58/C59,
         C58))</f>
        <v/>
      </c>
      <c r="D69" s="77" t="str">
        <f>IF(C42&lt;=D45,
      "",
      IF(C42-D45&lt;1,
         D58/(C42-D45),
         D58))</f>
        <v/>
      </c>
      <c r="E69" s="77" t="str">
        <f>IF(E59&lt;=0,
      "",
      IF(E59&lt;1,
         E58/E59,
         E58))</f>
        <v/>
      </c>
      <c r="F69" s="77" t="str">
        <f>IF(E42&lt;=F45,
      "",
      IF(E42-F45&lt;1,
         F58/(E42-F45),
         F58))</f>
        <v/>
      </c>
      <c r="G69" s="77" t="str">
        <f>IF(G59&lt;=0,
      "",
      IF(G59&lt;1,
         G58/G59,
         G58))</f>
        <v/>
      </c>
      <c r="H69" s="77" t="str">
        <f>IF(G42&lt;=H45,
      "",
      IF(G42-H45&lt;1,
         H58/(G42-H45),
         H58))</f>
        <v/>
      </c>
      <c r="I69" s="77" t="str">
        <f>IF(I59&lt;=0,
      "",
      IF(I59&lt;1,
         I58/I59,
         I58))</f>
        <v/>
      </c>
      <c r="J69" s="88" t="str">
        <f>IF(I42&lt;=J45,
      "",
      IF(I42-J45&lt;1,
         J58/(I42-J45),
         J58))</f>
        <v/>
      </c>
      <c r="K69" s="64"/>
      <c r="L69" s="64"/>
      <c r="M69" s="64"/>
      <c r="N69" s="64"/>
    </row>
    <row r="70" spans="1:14" ht="13.5" hidden="1" outlineLevel="1" thickBot="1" x14ac:dyDescent="0.25">
      <c r="A70" s="288"/>
      <c r="B70" s="101" t="s">
        <v>94</v>
      </c>
      <c r="C70" s="103">
        <f t="shared" ref="C70:J70" si="6">IFERROR(+C64+C67+C68+C69,0)</f>
        <v>0</v>
      </c>
      <c r="D70" s="79">
        <f t="shared" si="6"/>
        <v>0</v>
      </c>
      <c r="E70" s="79">
        <f t="shared" si="6"/>
        <v>0</v>
      </c>
      <c r="F70" s="79">
        <f t="shared" si="6"/>
        <v>0</v>
      </c>
      <c r="G70" s="79">
        <f t="shared" si="6"/>
        <v>0</v>
      </c>
      <c r="H70" s="79">
        <f t="shared" si="6"/>
        <v>0</v>
      </c>
      <c r="I70" s="79">
        <f t="shared" si="6"/>
        <v>0</v>
      </c>
      <c r="J70" s="89">
        <f t="shared" si="6"/>
        <v>0</v>
      </c>
      <c r="K70" s="64"/>
      <c r="L70" s="64"/>
      <c r="M70" s="64"/>
      <c r="N70" s="64"/>
    </row>
    <row r="71" spans="1:14" hidden="1" outlineLevel="1" x14ac:dyDescent="0.2">
      <c r="A71" s="256" t="s">
        <v>24</v>
      </c>
      <c r="B71" s="139" t="s">
        <v>95</v>
      </c>
      <c r="C71" s="115">
        <f>+C32*VLOOKUP(C7,DiscoveryBytes,2)+C37*VLOOKUP(C7,DiscoveryBytes,3)+C38*VLOOKUP(C7,DiscoveryBytes,4)+C34*VLOOKUP(C7,DiscoveryBytes,5)</f>
        <v>0</v>
      </c>
      <c r="D71" s="115">
        <f>+C32*VLOOKUP(C7,DiscoveryBytes,6)+C37*VLOOKUP(C7,DiscoveryBytes,7)+C38*VLOOKUP(C7,DiscoveryBytes,8)+C34*VLOOKUP(C7,DiscoveryBytes,9)</f>
        <v>0</v>
      </c>
      <c r="E71" s="115">
        <f>+E32*VLOOKUP(E7,DiscoveryBytes,2)+E37*VLOOKUP(E7,DiscoveryBytes,3)+E38*VLOOKUP(E7,DiscoveryBytes,4)+E34*VLOOKUP(E7,DiscoveryBytes,5)</f>
        <v>0</v>
      </c>
      <c r="F71" s="115">
        <f>+E32*VLOOKUP(E7,DiscoveryBytes,6)+E37*VLOOKUP(E7,DiscoveryBytes,7)+E38*VLOOKUP(E7,DiscoveryBytes,8)+E34*VLOOKUP(E7,DiscoveryBytes,9)</f>
        <v>0</v>
      </c>
      <c r="G71" s="115">
        <f>+G32*VLOOKUP(G7,DiscoveryBytes,2)+G37*VLOOKUP(G7,DiscoveryBytes,3)+G38*VLOOKUP(G7,DiscoveryBytes,4)+G34*VLOOKUP(G7,DiscoveryBytes,5)</f>
        <v>0</v>
      </c>
      <c r="H71" s="115">
        <f>+G32*VLOOKUP(G7,DiscoveryBytes,6)+G37*VLOOKUP(G7,DiscoveryBytes,7)+G38*VLOOKUP(G7,DiscoveryBytes,8)+G34*VLOOKUP(G7,DiscoveryBytes,9)</f>
        <v>0</v>
      </c>
      <c r="I71" s="115">
        <f>+I32*VLOOKUP(I7,DiscoveryBytes,2)+I37*VLOOKUP(I7,DiscoveryBytes,3)+I38*VLOOKUP(I7,DiscoveryBytes,4)+I34*VLOOKUP(I7,DiscoveryBytes,5)</f>
        <v>0</v>
      </c>
      <c r="J71" s="116">
        <f>+I32*VLOOKUP(I7,DiscoveryBytes,6)+I37*VLOOKUP(I7,DiscoveryBytes,7)+I38*VLOOKUP(I7,DiscoveryBytes,8)+I34*VLOOKUP(I7,DiscoveryBytes,9)</f>
        <v>0</v>
      </c>
      <c r="K71" s="64"/>
      <c r="L71" s="64"/>
      <c r="M71" s="64"/>
      <c r="N71" s="64"/>
    </row>
    <row r="72" spans="1:14" hidden="1" outlineLevel="1" x14ac:dyDescent="0.2">
      <c r="A72" s="257"/>
      <c r="B72" s="66" t="s">
        <v>96</v>
      </c>
      <c r="C72" s="77">
        <f t="shared" ref="C72:J72" si="7">IFERROR((IF(C64&gt;0,C71*8/C64,0)),"")</f>
        <v>0</v>
      </c>
      <c r="D72" s="77">
        <f t="shared" si="7"/>
        <v>0</v>
      </c>
      <c r="E72" s="77">
        <f t="shared" si="7"/>
        <v>0</v>
      </c>
      <c r="F72" s="77">
        <f t="shared" si="7"/>
        <v>0</v>
      </c>
      <c r="G72" s="77">
        <f t="shared" si="7"/>
        <v>0</v>
      </c>
      <c r="H72" s="77">
        <f t="shared" si="7"/>
        <v>0</v>
      </c>
      <c r="I72" s="77">
        <f t="shared" si="7"/>
        <v>0</v>
      </c>
      <c r="J72" s="88">
        <f t="shared" si="7"/>
        <v>0</v>
      </c>
      <c r="K72" s="64"/>
      <c r="L72" s="64"/>
      <c r="M72" s="64"/>
      <c r="N72" s="64"/>
    </row>
    <row r="73" spans="1:14" ht="13.5" hidden="1" outlineLevel="1" thickBot="1" x14ac:dyDescent="0.25">
      <c r="A73" s="258"/>
      <c r="B73" s="140" t="s">
        <v>24</v>
      </c>
      <c r="C73" s="141">
        <f>1024*(VLOOKUP(C7,Memory,2)+C36*VLOOKUP(C7,Memory,3)+C37*VLOOKUP(C7,Memory,4)+C38*VLOOKUP(C7,Memory,5))</f>
        <v>178200576</v>
      </c>
      <c r="D73" s="141">
        <f>1024*(VLOOKUP(C7,Memory,6)+C36*VLOOKUP(C7,Memory,7)+C37*VLOOKUP(C7,Memory,8)+C38*VLOOKUP(C7,Memory,9))</f>
        <v>2411024384</v>
      </c>
      <c r="E73" s="141">
        <f>1024*(VLOOKUP(E7,Memory,2)+E36*VLOOKUP(E7,Memory,3)+E37*VLOOKUP(E7,Memory,4)+E38*VLOOKUP(E7,Memory,5))</f>
        <v>178200576</v>
      </c>
      <c r="F73" s="141">
        <f>1024*(VLOOKUP(E7,Memory,6)+E36*VLOOKUP(E7,Memory,7)+E37*VLOOKUP(E7,Memory,8)+E38*VLOOKUP(E7,Memory,9))</f>
        <v>2411024384</v>
      </c>
      <c r="G73" s="141">
        <f>1024*(VLOOKUP(G7,Memory,2)+G36*VLOOKUP(G7,Memory,3)+G37*VLOOKUP(G7,Memory,4)+G38*VLOOKUP(G7,Memory,5))</f>
        <v>178200576</v>
      </c>
      <c r="H73" s="141">
        <f>1024*(VLOOKUP(G7,Memory,6)+G36*VLOOKUP(G7,Memory,7)+G37*VLOOKUP(G7,Memory,8)+G38*VLOOKUP(G7,Memory,9))</f>
        <v>2411024384</v>
      </c>
      <c r="I73" s="141">
        <f>1024*(VLOOKUP(I7,Memory,2)+I36*VLOOKUP(I7,Memory,3)+I37*VLOOKUP(I7,Memory,4)+I38*VLOOKUP(I7,Memory,5))</f>
        <v>178200576</v>
      </c>
      <c r="J73" s="142">
        <f>1024*(VLOOKUP(I7,Memory,6)+I36*VLOOKUP(I7,Memory,7)+I37*VLOOKUP(I7,Memory,8)+I38*VLOOKUP(I7,Memory,9))</f>
        <v>2411024384</v>
      </c>
      <c r="K73" s="64"/>
      <c r="L73" s="64"/>
      <c r="M73" s="64"/>
      <c r="N73" s="64"/>
    </row>
    <row r="74" spans="1:14" ht="13.5" collapsed="1" thickBot="1" x14ac:dyDescent="0.25">
      <c r="A74" s="284"/>
      <c r="B74" s="285"/>
      <c r="C74" s="269"/>
      <c r="D74" s="269"/>
      <c r="E74" s="269"/>
      <c r="F74" s="269"/>
      <c r="G74" s="269"/>
      <c r="H74" s="269"/>
      <c r="I74" s="269"/>
      <c r="J74" s="270"/>
      <c r="K74" s="64"/>
      <c r="L74" s="64"/>
      <c r="M74" s="64"/>
      <c r="N74" s="64"/>
    </row>
    <row r="75" spans="1:14" ht="13.5" thickBot="1" x14ac:dyDescent="0.25">
      <c r="A75" s="289"/>
      <c r="B75" s="152" t="s">
        <v>97</v>
      </c>
      <c r="C75" s="125">
        <f t="shared" ref="C75:J75" si="8">IFERROR(+C45,0)</f>
        <v>0</v>
      </c>
      <c r="D75" s="126">
        <f t="shared" si="8"/>
        <v>0</v>
      </c>
      <c r="E75" s="126">
        <f t="shared" si="8"/>
        <v>0</v>
      </c>
      <c r="F75" s="126">
        <f t="shared" si="8"/>
        <v>0</v>
      </c>
      <c r="G75" s="126">
        <f t="shared" si="8"/>
        <v>0</v>
      </c>
      <c r="H75" s="126">
        <f t="shared" si="8"/>
        <v>0</v>
      </c>
      <c r="I75" s="126">
        <f t="shared" si="8"/>
        <v>0</v>
      </c>
      <c r="J75" s="127">
        <f t="shared" si="8"/>
        <v>0</v>
      </c>
      <c r="K75" s="64"/>
      <c r="L75" s="64"/>
      <c r="M75" s="64"/>
      <c r="N75" s="64"/>
    </row>
    <row r="76" spans="1:14" ht="15" customHeight="1" x14ac:dyDescent="0.2">
      <c r="A76" s="290"/>
      <c r="B76" s="72" t="s">
        <v>98</v>
      </c>
      <c r="C76" s="86">
        <f t="shared" ref="C76:J76" si="9">+C50</f>
        <v>0</v>
      </c>
      <c r="D76" s="86">
        <f t="shared" si="9"/>
        <v>0</v>
      </c>
      <c r="E76" s="86">
        <f t="shared" si="9"/>
        <v>0</v>
      </c>
      <c r="F76" s="86">
        <f t="shared" si="9"/>
        <v>0</v>
      </c>
      <c r="G76" s="86">
        <f t="shared" si="9"/>
        <v>0</v>
      </c>
      <c r="H76" s="86">
        <f t="shared" si="9"/>
        <v>0</v>
      </c>
      <c r="I76" s="86">
        <f t="shared" si="9"/>
        <v>0</v>
      </c>
      <c r="J76" s="87">
        <f t="shared" si="9"/>
        <v>0</v>
      </c>
      <c r="K76" s="64"/>
      <c r="L76" s="64"/>
      <c r="M76" s="64"/>
      <c r="N76" s="64"/>
    </row>
    <row r="77" spans="1:14" ht="15" customHeight="1" x14ac:dyDescent="0.2">
      <c r="A77" s="290"/>
      <c r="B77" s="71" t="s">
        <v>99</v>
      </c>
      <c r="C77" s="77">
        <f t="shared" ref="C77:J78" si="10">IFERROR(+C57,0)</f>
        <v>0</v>
      </c>
      <c r="D77" s="77">
        <f t="shared" si="10"/>
        <v>0</v>
      </c>
      <c r="E77" s="77">
        <f t="shared" si="10"/>
        <v>0</v>
      </c>
      <c r="F77" s="77">
        <f t="shared" si="10"/>
        <v>0</v>
      </c>
      <c r="G77" s="77">
        <f t="shared" si="10"/>
        <v>0</v>
      </c>
      <c r="H77" s="77">
        <f t="shared" si="10"/>
        <v>0</v>
      </c>
      <c r="I77" s="77">
        <f t="shared" si="10"/>
        <v>0</v>
      </c>
      <c r="J77" s="88">
        <f t="shared" si="10"/>
        <v>0</v>
      </c>
      <c r="K77" s="64"/>
      <c r="L77" s="64"/>
      <c r="M77" s="64"/>
      <c r="N77" s="64"/>
    </row>
    <row r="78" spans="1:14" ht="15" customHeight="1" x14ac:dyDescent="0.2">
      <c r="A78" s="290"/>
      <c r="B78" s="71" t="s">
        <v>100</v>
      </c>
      <c r="C78" s="77">
        <f t="shared" si="10"/>
        <v>0</v>
      </c>
      <c r="D78" s="77">
        <f t="shared" si="10"/>
        <v>0</v>
      </c>
      <c r="E78" s="77">
        <f t="shared" si="10"/>
        <v>0</v>
      </c>
      <c r="F78" s="77">
        <f t="shared" si="10"/>
        <v>0</v>
      </c>
      <c r="G78" s="77">
        <f t="shared" si="10"/>
        <v>0</v>
      </c>
      <c r="H78" s="77">
        <f t="shared" si="10"/>
        <v>0</v>
      </c>
      <c r="I78" s="77">
        <f t="shared" si="10"/>
        <v>0</v>
      </c>
      <c r="J78" s="88">
        <f t="shared" si="10"/>
        <v>0</v>
      </c>
      <c r="K78" s="64"/>
      <c r="L78" s="64"/>
      <c r="M78" s="64"/>
      <c r="N78" s="64"/>
    </row>
    <row r="79" spans="1:14" ht="15" customHeight="1" x14ac:dyDescent="0.2">
      <c r="A79" s="290"/>
      <c r="B79" s="71" t="s">
        <v>101</v>
      </c>
      <c r="C79" s="77">
        <f t="shared" ref="C79:J79" si="11">IFERROR(+C64,0)</f>
        <v>0</v>
      </c>
      <c r="D79" s="77">
        <f t="shared" si="11"/>
        <v>0</v>
      </c>
      <c r="E79" s="77">
        <f t="shared" si="11"/>
        <v>0</v>
      </c>
      <c r="F79" s="77">
        <f t="shared" si="11"/>
        <v>0</v>
      </c>
      <c r="G79" s="77">
        <f t="shared" si="11"/>
        <v>0</v>
      </c>
      <c r="H79" s="77">
        <f t="shared" si="11"/>
        <v>0</v>
      </c>
      <c r="I79" s="77">
        <f t="shared" si="11"/>
        <v>0</v>
      </c>
      <c r="J79" s="88">
        <f t="shared" si="11"/>
        <v>0</v>
      </c>
      <c r="K79" s="64"/>
      <c r="L79" s="64"/>
      <c r="M79" s="64"/>
      <c r="N79" s="64"/>
    </row>
    <row r="80" spans="1:14" ht="15" customHeight="1" x14ac:dyDescent="0.2">
      <c r="A80" s="290"/>
      <c r="B80" s="71" t="s">
        <v>102</v>
      </c>
      <c r="C80" s="77">
        <f>IFERROR(+C70,0)</f>
        <v>0</v>
      </c>
      <c r="D80" s="77">
        <f t="shared" ref="D80:J80" si="12">IFERROR(+D70,0)</f>
        <v>0</v>
      </c>
      <c r="E80" s="77">
        <f t="shared" si="12"/>
        <v>0</v>
      </c>
      <c r="F80" s="77">
        <f t="shared" si="12"/>
        <v>0</v>
      </c>
      <c r="G80" s="77">
        <f t="shared" si="12"/>
        <v>0</v>
      </c>
      <c r="H80" s="77">
        <f t="shared" si="12"/>
        <v>0</v>
      </c>
      <c r="I80" s="77">
        <f t="shared" si="12"/>
        <v>0</v>
      </c>
      <c r="J80" s="88">
        <f t="shared" si="12"/>
        <v>0</v>
      </c>
      <c r="K80" s="64"/>
      <c r="L80" s="64"/>
      <c r="M80" s="64"/>
      <c r="N80" s="64"/>
    </row>
    <row r="81" spans="1:14" ht="15.75" customHeight="1" thickBot="1" x14ac:dyDescent="0.25">
      <c r="A81" s="290"/>
      <c r="B81" s="73" t="s">
        <v>103</v>
      </c>
      <c r="C81" s="79">
        <f>IFERROR(+C72,0)</f>
        <v>0</v>
      </c>
      <c r="D81" s="79">
        <f t="shared" ref="D81:J81" si="13">+D72</f>
        <v>0</v>
      </c>
      <c r="E81" s="79">
        <f t="shared" si="13"/>
        <v>0</v>
      </c>
      <c r="F81" s="79">
        <f t="shared" si="13"/>
        <v>0</v>
      </c>
      <c r="G81" s="79">
        <f t="shared" si="13"/>
        <v>0</v>
      </c>
      <c r="H81" s="79">
        <f t="shared" si="13"/>
        <v>0</v>
      </c>
      <c r="I81" s="79">
        <f t="shared" si="13"/>
        <v>0</v>
      </c>
      <c r="J81" s="89">
        <f t="shared" si="13"/>
        <v>0</v>
      </c>
      <c r="K81" s="64"/>
      <c r="L81" s="64"/>
      <c r="M81" s="64"/>
      <c r="N81" s="64"/>
    </row>
    <row r="82" spans="1:14" ht="15.75" customHeight="1" thickBot="1" x14ac:dyDescent="0.25">
      <c r="A82" s="291"/>
      <c r="B82" s="151" t="s">
        <v>104</v>
      </c>
      <c r="C82" s="128">
        <f t="shared" ref="C82:J82" si="14">(+C73/1024)/1024</f>
        <v>169.9453125</v>
      </c>
      <c r="D82" s="129">
        <f t="shared" si="14"/>
        <v>2299.33203125</v>
      </c>
      <c r="E82" s="129">
        <f t="shared" si="14"/>
        <v>169.9453125</v>
      </c>
      <c r="F82" s="129">
        <f t="shared" si="14"/>
        <v>2299.33203125</v>
      </c>
      <c r="G82" s="129">
        <f t="shared" si="14"/>
        <v>169.9453125</v>
      </c>
      <c r="H82" s="129">
        <f t="shared" si="14"/>
        <v>2299.33203125</v>
      </c>
      <c r="I82" s="129">
        <f t="shared" si="14"/>
        <v>169.9453125</v>
      </c>
      <c r="J82" s="130">
        <f t="shared" si="14"/>
        <v>2299.33203125</v>
      </c>
      <c r="K82" s="64"/>
      <c r="L82" s="64"/>
      <c r="M82" s="64"/>
      <c r="N82" s="64"/>
    </row>
    <row r="83" spans="1:14" ht="13.5" thickBot="1" x14ac:dyDescent="0.25">
      <c r="A83" s="244"/>
      <c r="B83" s="245"/>
      <c r="C83" s="245"/>
      <c r="D83" s="245"/>
      <c r="E83" s="245"/>
      <c r="F83" s="245"/>
      <c r="G83" s="245"/>
      <c r="H83" s="245"/>
      <c r="I83" s="245"/>
      <c r="J83" s="246"/>
      <c r="K83" s="64"/>
      <c r="L83" s="64"/>
      <c r="M83" s="64"/>
      <c r="N83" s="64"/>
    </row>
    <row r="84" spans="1:14" ht="13.5" thickBot="1" x14ac:dyDescent="0.25">
      <c r="A84" s="239" t="s">
        <v>105</v>
      </c>
      <c r="B84" s="283"/>
      <c r="C84" s="283"/>
      <c r="D84" s="283"/>
      <c r="E84" s="283"/>
      <c r="F84" s="283"/>
      <c r="G84" s="283"/>
      <c r="H84" s="283"/>
      <c r="I84" s="283"/>
      <c r="J84" s="240"/>
      <c r="K84" s="64"/>
      <c r="L84" s="64"/>
      <c r="M84" s="64"/>
      <c r="N84" s="64"/>
    </row>
    <row r="85" spans="1:14" x14ac:dyDescent="0.2">
      <c r="A85" s="119"/>
      <c r="B85" s="72" t="s">
        <v>106</v>
      </c>
      <c r="C85" s="90">
        <f>+C80*Data!$B$91</f>
        <v>0</v>
      </c>
      <c r="D85" s="90">
        <f>+D80*Data!$B$91</f>
        <v>0</v>
      </c>
      <c r="E85" s="90">
        <f>+E80*Data!$B$91</f>
        <v>0</v>
      </c>
      <c r="F85" s="90">
        <f>+F80*Data!$B$91</f>
        <v>0</v>
      </c>
      <c r="G85" s="90">
        <f>+G80*Data!$B$91</f>
        <v>0</v>
      </c>
      <c r="H85" s="90">
        <f>+H80*Data!$B$91</f>
        <v>0</v>
      </c>
      <c r="I85" s="90">
        <f>+I80*Data!$B$91</f>
        <v>0</v>
      </c>
      <c r="J85" s="91">
        <f>+J80*Data!$B$91</f>
        <v>0</v>
      </c>
      <c r="K85" s="64"/>
      <c r="L85" s="64"/>
      <c r="M85" s="64"/>
      <c r="N85" s="64"/>
    </row>
    <row r="86" spans="1:14" x14ac:dyDescent="0.2">
      <c r="A86" s="119"/>
      <c r="B86" s="71" t="s">
        <v>107</v>
      </c>
      <c r="C86" s="90"/>
      <c r="D86" s="90"/>
      <c r="E86" s="90"/>
      <c r="F86" s="90"/>
      <c r="G86" s="90"/>
      <c r="H86" s="90"/>
      <c r="I86" s="90"/>
      <c r="J86" s="91"/>
      <c r="K86" s="64"/>
      <c r="L86" s="64"/>
      <c r="M86" s="64"/>
      <c r="N86" s="64"/>
    </row>
    <row r="87" spans="1:14" x14ac:dyDescent="0.2">
      <c r="A87" s="119"/>
      <c r="B87" s="71" t="s">
        <v>108</v>
      </c>
      <c r="C87" s="92">
        <f t="shared" ref="C87:J87" si="15">+C75</f>
        <v>0</v>
      </c>
      <c r="D87" s="92">
        <f t="shared" si="15"/>
        <v>0</v>
      </c>
      <c r="E87" s="92">
        <f t="shared" si="15"/>
        <v>0</v>
      </c>
      <c r="F87" s="92">
        <f t="shared" si="15"/>
        <v>0</v>
      </c>
      <c r="G87" s="92">
        <f t="shared" si="15"/>
        <v>0</v>
      </c>
      <c r="H87" s="92">
        <f t="shared" si="15"/>
        <v>0</v>
      </c>
      <c r="I87" s="92">
        <f t="shared" si="15"/>
        <v>0</v>
      </c>
      <c r="J87" s="93">
        <f t="shared" si="15"/>
        <v>0</v>
      </c>
      <c r="K87" s="64"/>
      <c r="L87" s="64"/>
      <c r="M87" s="64"/>
      <c r="N87" s="64"/>
    </row>
    <row r="88" spans="1:14" s="68" customFormat="1" x14ac:dyDescent="0.2">
      <c r="A88" s="119"/>
      <c r="B88" s="74" t="s">
        <v>109</v>
      </c>
      <c r="C88" s="92"/>
      <c r="D88" s="92"/>
      <c r="E88" s="92"/>
      <c r="F88" s="92"/>
      <c r="G88" s="92"/>
      <c r="H88" s="92"/>
      <c r="I88" s="92"/>
      <c r="J88" s="93"/>
    </row>
    <row r="89" spans="1:14" x14ac:dyDescent="0.2">
      <c r="A89" s="119"/>
      <c r="B89" s="71" t="s">
        <v>110</v>
      </c>
      <c r="C89" s="77">
        <f t="shared" ref="C89:J89" si="16">+C82</f>
        <v>169.9453125</v>
      </c>
      <c r="D89" s="77">
        <f t="shared" si="16"/>
        <v>2299.33203125</v>
      </c>
      <c r="E89" s="77">
        <f t="shared" si="16"/>
        <v>169.9453125</v>
      </c>
      <c r="F89" s="77">
        <f t="shared" si="16"/>
        <v>2299.33203125</v>
      </c>
      <c r="G89" s="77">
        <f t="shared" si="16"/>
        <v>169.9453125</v>
      </c>
      <c r="H89" s="77">
        <f t="shared" si="16"/>
        <v>2299.33203125</v>
      </c>
      <c r="I89" s="77">
        <f t="shared" si="16"/>
        <v>169.9453125</v>
      </c>
      <c r="J89" s="88">
        <f t="shared" si="16"/>
        <v>2299.33203125</v>
      </c>
      <c r="K89" s="64"/>
      <c r="L89" s="64"/>
      <c r="M89" s="64"/>
      <c r="N89" s="64"/>
    </row>
    <row r="90" spans="1:14" x14ac:dyDescent="0.2">
      <c r="A90" s="119"/>
      <c r="B90" s="71" t="s">
        <v>111</v>
      </c>
      <c r="C90" s="77"/>
      <c r="D90" s="77"/>
      <c r="E90" s="77"/>
      <c r="F90" s="77"/>
      <c r="G90" s="77"/>
      <c r="H90" s="77"/>
      <c r="I90" s="77"/>
      <c r="J90" s="88"/>
      <c r="K90" s="64"/>
      <c r="L90" s="64"/>
      <c r="M90" s="64"/>
      <c r="N90" s="64"/>
    </row>
    <row r="91" spans="1:14" x14ac:dyDescent="0.2">
      <c r="A91" s="119"/>
      <c r="B91" s="71" t="s">
        <v>112</v>
      </c>
      <c r="C91" s="94" t="str">
        <f t="shared" ref="C91:J91" si="17">IF(C86="","",C85/C86)</f>
        <v/>
      </c>
      <c r="D91" s="94" t="str">
        <f t="shared" si="17"/>
        <v/>
      </c>
      <c r="E91" s="94" t="str">
        <f t="shared" si="17"/>
        <v/>
      </c>
      <c r="F91" s="94" t="str">
        <f t="shared" si="17"/>
        <v/>
      </c>
      <c r="G91" s="94" t="str">
        <f t="shared" si="17"/>
        <v/>
      </c>
      <c r="H91" s="94" t="str">
        <f t="shared" si="17"/>
        <v/>
      </c>
      <c r="I91" s="94" t="str">
        <f t="shared" si="17"/>
        <v/>
      </c>
      <c r="J91" s="95" t="str">
        <f t="shared" si="17"/>
        <v/>
      </c>
      <c r="K91" s="64"/>
      <c r="L91" s="64"/>
      <c r="M91" s="64"/>
      <c r="N91" s="64"/>
    </row>
    <row r="92" spans="1:14" x14ac:dyDescent="0.2">
      <c r="A92" s="119"/>
      <c r="B92" s="71" t="s">
        <v>113</v>
      </c>
      <c r="C92" s="94" t="str">
        <f t="shared" ref="C92:J92" si="18">IF(C88="","",C87/C88)</f>
        <v/>
      </c>
      <c r="D92" s="94" t="str">
        <f t="shared" si="18"/>
        <v/>
      </c>
      <c r="E92" s="94" t="str">
        <f t="shared" si="18"/>
        <v/>
      </c>
      <c r="F92" s="94" t="str">
        <f t="shared" si="18"/>
        <v/>
      </c>
      <c r="G92" s="94" t="str">
        <f t="shared" si="18"/>
        <v/>
      </c>
      <c r="H92" s="94" t="str">
        <f t="shared" si="18"/>
        <v/>
      </c>
      <c r="I92" s="94" t="str">
        <f t="shared" si="18"/>
        <v/>
      </c>
      <c r="J92" s="95" t="str">
        <f t="shared" si="18"/>
        <v/>
      </c>
      <c r="K92" s="64"/>
      <c r="L92" s="64"/>
      <c r="M92" s="64"/>
      <c r="N92" s="64"/>
    </row>
    <row r="93" spans="1:14" ht="13.5" thickBot="1" x14ac:dyDescent="0.25">
      <c r="A93" s="120"/>
      <c r="B93" s="75" t="s">
        <v>114</v>
      </c>
      <c r="C93" s="96" t="str">
        <f>IF(C90="","",C89/C90)</f>
        <v/>
      </c>
      <c r="D93" s="96" t="str">
        <f t="shared" ref="D93:J93" si="19">IF(D90="","",D89/D90)</f>
        <v/>
      </c>
      <c r="E93" s="96" t="str">
        <f t="shared" si="19"/>
        <v/>
      </c>
      <c r="F93" s="96" t="str">
        <f t="shared" si="19"/>
        <v/>
      </c>
      <c r="G93" s="96" t="str">
        <f t="shared" si="19"/>
        <v/>
      </c>
      <c r="H93" s="96" t="str">
        <f t="shared" si="19"/>
        <v/>
      </c>
      <c r="I93" s="96" t="str">
        <f t="shared" si="19"/>
        <v/>
      </c>
      <c r="J93" s="96" t="str">
        <f t="shared" si="19"/>
        <v/>
      </c>
      <c r="K93" s="64"/>
      <c r="L93" s="64"/>
      <c r="M93" s="64"/>
      <c r="N93" s="64"/>
    </row>
    <row r="94" spans="1:14" x14ac:dyDescent="0.2">
      <c r="A94" s="64"/>
    </row>
    <row r="95" spans="1:14" x14ac:dyDescent="0.2">
      <c r="A95" s="64"/>
    </row>
    <row r="96" spans="1:14" x14ac:dyDescent="0.2">
      <c r="A96" s="64"/>
      <c r="B96" s="64"/>
      <c r="C96" s="69"/>
      <c r="D96" s="64"/>
      <c r="E96" s="64"/>
      <c r="F96" s="64"/>
      <c r="G96" s="64"/>
      <c r="H96" s="64"/>
      <c r="I96" s="64"/>
      <c r="J96" s="64"/>
      <c r="K96" s="64"/>
      <c r="L96" s="64"/>
      <c r="M96" s="64"/>
      <c r="N96" s="64"/>
    </row>
    <row r="97" spans="1:1" x14ac:dyDescent="0.2">
      <c r="A97" s="64"/>
    </row>
    <row r="98" spans="1:1" x14ac:dyDescent="0.2">
      <c r="A98" s="64"/>
    </row>
    <row r="99" spans="1:1" x14ac:dyDescent="0.2">
      <c r="A99" s="64"/>
    </row>
    <row r="100" spans="1:1" x14ac:dyDescent="0.2">
      <c r="A100" s="64"/>
    </row>
    <row r="101" spans="1:1" x14ac:dyDescent="0.2">
      <c r="A101" s="64"/>
    </row>
    <row r="102" spans="1:1" x14ac:dyDescent="0.2">
      <c r="A102" s="64"/>
    </row>
    <row r="103" spans="1:1" x14ac:dyDescent="0.2">
      <c r="A103" s="64"/>
    </row>
    <row r="104" spans="1:1" x14ac:dyDescent="0.2">
      <c r="A104" s="64"/>
    </row>
    <row r="105" spans="1:1" x14ac:dyDescent="0.2">
      <c r="A105" s="64"/>
    </row>
    <row r="106" spans="1:1" x14ac:dyDescent="0.2">
      <c r="A106" s="64"/>
    </row>
    <row r="107" spans="1:1" x14ac:dyDescent="0.2">
      <c r="A107" s="64"/>
    </row>
    <row r="108" spans="1:1" x14ac:dyDescent="0.2">
      <c r="A108" s="64"/>
    </row>
    <row r="109" spans="1:1" x14ac:dyDescent="0.2">
      <c r="A109" s="64"/>
    </row>
    <row r="110" spans="1:1" x14ac:dyDescent="0.2">
      <c r="A110" s="64"/>
    </row>
    <row r="111" spans="1:1" x14ac:dyDescent="0.2">
      <c r="A111" s="64"/>
    </row>
    <row r="112" spans="1:1" x14ac:dyDescent="0.2">
      <c r="A112" s="64"/>
    </row>
    <row r="113" spans="1:1" x14ac:dyDescent="0.2">
      <c r="A113" s="64"/>
    </row>
    <row r="114" spans="1:1" x14ac:dyDescent="0.2">
      <c r="A114" s="64"/>
    </row>
    <row r="115" spans="1:1" x14ac:dyDescent="0.2">
      <c r="A115" s="64"/>
    </row>
    <row r="116" spans="1:1" x14ac:dyDescent="0.2">
      <c r="A116" s="64"/>
    </row>
    <row r="117" spans="1:1" x14ac:dyDescent="0.2">
      <c r="A117" s="64"/>
    </row>
    <row r="118" spans="1:1" x14ac:dyDescent="0.2">
      <c r="A118" s="64"/>
    </row>
    <row r="119" spans="1:1" x14ac:dyDescent="0.2">
      <c r="A119" s="64"/>
    </row>
    <row r="120" spans="1:1" x14ac:dyDescent="0.2">
      <c r="A120" s="64"/>
    </row>
    <row r="121" spans="1:1" x14ac:dyDescent="0.2">
      <c r="A121" s="64"/>
    </row>
    <row r="122" spans="1:1" x14ac:dyDescent="0.2">
      <c r="A122" s="64"/>
    </row>
    <row r="123" spans="1:1" x14ac:dyDescent="0.2">
      <c r="A123" s="64"/>
    </row>
    <row r="124" spans="1:1" x14ac:dyDescent="0.2">
      <c r="A124" s="64"/>
    </row>
    <row r="125" spans="1:1" x14ac:dyDescent="0.2">
      <c r="A125" s="64"/>
    </row>
    <row r="126" spans="1:1" x14ac:dyDescent="0.2">
      <c r="A126" s="64"/>
    </row>
    <row r="127" spans="1:1" x14ac:dyDescent="0.2">
      <c r="A127" s="64"/>
    </row>
    <row r="128" spans="1:1" x14ac:dyDescent="0.2">
      <c r="A128" s="64"/>
    </row>
    <row r="129" spans="1:1" x14ac:dyDescent="0.2">
      <c r="A129" s="64"/>
    </row>
    <row r="130" spans="1:1" x14ac:dyDescent="0.2">
      <c r="A130" s="64"/>
    </row>
    <row r="131" spans="1:1" x14ac:dyDescent="0.2">
      <c r="A131" s="64"/>
    </row>
    <row r="132" spans="1:1" x14ac:dyDescent="0.2">
      <c r="A132" s="64"/>
    </row>
    <row r="133" spans="1:1" x14ac:dyDescent="0.2">
      <c r="A133" s="64"/>
    </row>
    <row r="134" spans="1:1" x14ac:dyDescent="0.2">
      <c r="A134" s="64"/>
    </row>
    <row r="135" spans="1:1" x14ac:dyDescent="0.2">
      <c r="A135" s="64"/>
    </row>
    <row r="136" spans="1:1" x14ac:dyDescent="0.2">
      <c r="A136" s="64"/>
    </row>
    <row r="137" spans="1:1" x14ac:dyDescent="0.2">
      <c r="A137" s="64"/>
    </row>
    <row r="138" spans="1:1" x14ac:dyDescent="0.2">
      <c r="A138" s="64"/>
    </row>
    <row r="139" spans="1:1" x14ac:dyDescent="0.2">
      <c r="A139" s="64"/>
    </row>
    <row r="140" spans="1:1" x14ac:dyDescent="0.2">
      <c r="A140" s="64"/>
    </row>
    <row r="141" spans="1:1" x14ac:dyDescent="0.2">
      <c r="A141" s="64"/>
    </row>
    <row r="142" spans="1:1" x14ac:dyDescent="0.2">
      <c r="A142" s="64"/>
    </row>
    <row r="143" spans="1:1" x14ac:dyDescent="0.2">
      <c r="A143" s="64"/>
    </row>
    <row r="144" spans="1:1" x14ac:dyDescent="0.2">
      <c r="A144" s="64"/>
    </row>
    <row r="145" spans="1:1" x14ac:dyDescent="0.2">
      <c r="A145" s="64"/>
    </row>
    <row r="146" spans="1:1" x14ac:dyDescent="0.2">
      <c r="A146" s="64"/>
    </row>
    <row r="147" spans="1:1" x14ac:dyDescent="0.2">
      <c r="A147" s="64"/>
    </row>
    <row r="148" spans="1:1" x14ac:dyDescent="0.2">
      <c r="A148" s="64"/>
    </row>
    <row r="149" spans="1:1" x14ac:dyDescent="0.2">
      <c r="A149" s="64"/>
    </row>
    <row r="150" spans="1:1" x14ac:dyDescent="0.2">
      <c r="A150" s="64"/>
    </row>
    <row r="151" spans="1:1" x14ac:dyDescent="0.2">
      <c r="A151" s="64"/>
    </row>
    <row r="152" spans="1:1" x14ac:dyDescent="0.2">
      <c r="A152" s="64"/>
    </row>
    <row r="153" spans="1:1" x14ac:dyDescent="0.2">
      <c r="A153" s="64"/>
    </row>
    <row r="154" spans="1:1" x14ac:dyDescent="0.2">
      <c r="A154" s="64"/>
    </row>
    <row r="155" spans="1:1" x14ac:dyDescent="0.2">
      <c r="A155" s="64"/>
    </row>
    <row r="156" spans="1:1" x14ac:dyDescent="0.2">
      <c r="A156" s="64"/>
    </row>
    <row r="157" spans="1:1" x14ac:dyDescent="0.2">
      <c r="A157" s="64"/>
    </row>
    <row r="158" spans="1:1" x14ac:dyDescent="0.2">
      <c r="A158" s="64"/>
    </row>
    <row r="159" spans="1:1" x14ac:dyDescent="0.2">
      <c r="A159" s="64"/>
    </row>
    <row r="160" spans="1:1" x14ac:dyDescent="0.2">
      <c r="A160" s="64"/>
    </row>
    <row r="161" spans="1:1" x14ac:dyDescent="0.2">
      <c r="A161" s="64"/>
    </row>
    <row r="162" spans="1:1" x14ac:dyDescent="0.2">
      <c r="A162" s="64"/>
    </row>
    <row r="163" spans="1:1" x14ac:dyDescent="0.2">
      <c r="A163" s="64"/>
    </row>
    <row r="164" spans="1:1" x14ac:dyDescent="0.2">
      <c r="A164" s="64"/>
    </row>
    <row r="165" spans="1:1" x14ac:dyDescent="0.2">
      <c r="A165" s="64"/>
    </row>
    <row r="166" spans="1:1" x14ac:dyDescent="0.2">
      <c r="A166" s="64"/>
    </row>
    <row r="167" spans="1:1" x14ac:dyDescent="0.2">
      <c r="A167" s="64"/>
    </row>
    <row r="168" spans="1:1" x14ac:dyDescent="0.2">
      <c r="A168" s="64"/>
    </row>
    <row r="169" spans="1:1" x14ac:dyDescent="0.2">
      <c r="A169" s="64"/>
    </row>
    <row r="170" spans="1:1" x14ac:dyDescent="0.2">
      <c r="A170" s="64"/>
    </row>
    <row r="171" spans="1:1" x14ac:dyDescent="0.2">
      <c r="A171" s="64"/>
    </row>
    <row r="172" spans="1:1" x14ac:dyDescent="0.2">
      <c r="A172" s="64"/>
    </row>
    <row r="173" spans="1:1" x14ac:dyDescent="0.2">
      <c r="A173" s="64"/>
    </row>
    <row r="174" spans="1:1" x14ac:dyDescent="0.2">
      <c r="A174" s="64"/>
    </row>
    <row r="175" spans="1:1" x14ac:dyDescent="0.2">
      <c r="A175" s="64"/>
    </row>
    <row r="176" spans="1:1" x14ac:dyDescent="0.2">
      <c r="A176" s="64"/>
    </row>
    <row r="177" spans="1:1" x14ac:dyDescent="0.2">
      <c r="A177" s="64"/>
    </row>
    <row r="178" spans="1:1" x14ac:dyDescent="0.2">
      <c r="A178" s="64"/>
    </row>
    <row r="179" spans="1:1" x14ac:dyDescent="0.2">
      <c r="A179" s="64"/>
    </row>
    <row r="180" spans="1:1" x14ac:dyDescent="0.2">
      <c r="A180" s="64"/>
    </row>
    <row r="181" spans="1:1" x14ac:dyDescent="0.2">
      <c r="A181" s="64"/>
    </row>
    <row r="182" spans="1:1" x14ac:dyDescent="0.2">
      <c r="A182" s="64"/>
    </row>
    <row r="183" spans="1:1" x14ac:dyDescent="0.2">
      <c r="A183" s="64"/>
    </row>
    <row r="184" spans="1:1" x14ac:dyDescent="0.2">
      <c r="A184" s="64"/>
    </row>
    <row r="185" spans="1:1" x14ac:dyDescent="0.2">
      <c r="A185" s="64"/>
    </row>
    <row r="186" spans="1:1" x14ac:dyDescent="0.2">
      <c r="A186" s="64"/>
    </row>
    <row r="187" spans="1:1" x14ac:dyDescent="0.2">
      <c r="A187" s="64"/>
    </row>
    <row r="188" spans="1:1" x14ac:dyDescent="0.2">
      <c r="A188" s="64"/>
    </row>
    <row r="189" spans="1:1" x14ac:dyDescent="0.2">
      <c r="A189" s="64"/>
    </row>
    <row r="190" spans="1:1" x14ac:dyDescent="0.2">
      <c r="A190" s="64"/>
    </row>
    <row r="191" spans="1:1" x14ac:dyDescent="0.2">
      <c r="A191" s="64"/>
    </row>
    <row r="192" spans="1:1" x14ac:dyDescent="0.2">
      <c r="A192" s="64"/>
    </row>
    <row r="193" spans="1:1" x14ac:dyDescent="0.2">
      <c r="A193" s="64"/>
    </row>
    <row r="194" spans="1:1" x14ac:dyDescent="0.2">
      <c r="A194" s="64"/>
    </row>
    <row r="195" spans="1:1" x14ac:dyDescent="0.2">
      <c r="A195" s="64"/>
    </row>
    <row r="196" spans="1:1" x14ac:dyDescent="0.2">
      <c r="A196" s="64"/>
    </row>
    <row r="197" spans="1:1" x14ac:dyDescent="0.2">
      <c r="A197" s="64"/>
    </row>
    <row r="198" spans="1:1" x14ac:dyDescent="0.2">
      <c r="A198" s="64"/>
    </row>
    <row r="199" spans="1:1" x14ac:dyDescent="0.2">
      <c r="A199" s="64"/>
    </row>
    <row r="200" spans="1:1" x14ac:dyDescent="0.2">
      <c r="A200" s="64"/>
    </row>
    <row r="201" spans="1:1" x14ac:dyDescent="0.2">
      <c r="A201" s="64"/>
    </row>
    <row r="202" spans="1:1" x14ac:dyDescent="0.2">
      <c r="A202" s="64"/>
    </row>
    <row r="203" spans="1:1" x14ac:dyDescent="0.2">
      <c r="A203" s="64"/>
    </row>
    <row r="204" spans="1:1" x14ac:dyDescent="0.2">
      <c r="A204" s="64"/>
    </row>
    <row r="205" spans="1:1" x14ac:dyDescent="0.2">
      <c r="A205" s="64"/>
    </row>
    <row r="206" spans="1:1" x14ac:dyDescent="0.2">
      <c r="A206" s="64"/>
    </row>
    <row r="207" spans="1:1" x14ac:dyDescent="0.2">
      <c r="A207" s="64"/>
    </row>
    <row r="208" spans="1:1" x14ac:dyDescent="0.2">
      <c r="A208" s="64"/>
    </row>
    <row r="209" spans="1:1" x14ac:dyDescent="0.2">
      <c r="A209" s="64"/>
    </row>
    <row r="210" spans="1:1" x14ac:dyDescent="0.2">
      <c r="A210" s="64"/>
    </row>
    <row r="211" spans="1:1" x14ac:dyDescent="0.2">
      <c r="A211" s="64"/>
    </row>
    <row r="212" spans="1:1" x14ac:dyDescent="0.2">
      <c r="A212" s="64"/>
    </row>
    <row r="213" spans="1:1" x14ac:dyDescent="0.2">
      <c r="A213" s="64"/>
    </row>
    <row r="214" spans="1:1" x14ac:dyDescent="0.2">
      <c r="A214" s="64"/>
    </row>
    <row r="215" spans="1:1" x14ac:dyDescent="0.2">
      <c r="A215" s="64"/>
    </row>
    <row r="216" spans="1:1" x14ac:dyDescent="0.2">
      <c r="A216" s="64"/>
    </row>
    <row r="217" spans="1:1" x14ac:dyDescent="0.2">
      <c r="A217" s="64"/>
    </row>
    <row r="218" spans="1:1" x14ac:dyDescent="0.2">
      <c r="A218" s="64"/>
    </row>
    <row r="219" spans="1:1" x14ac:dyDescent="0.2">
      <c r="A219" s="64"/>
    </row>
    <row r="220" spans="1:1" x14ac:dyDescent="0.2">
      <c r="A220" s="64"/>
    </row>
    <row r="221" spans="1:1" x14ac:dyDescent="0.2">
      <c r="A221" s="64"/>
    </row>
    <row r="222" spans="1:1" x14ac:dyDescent="0.2">
      <c r="A222" s="64"/>
    </row>
    <row r="223" spans="1:1" x14ac:dyDescent="0.2">
      <c r="A223" s="64"/>
    </row>
    <row r="224" spans="1:1" x14ac:dyDescent="0.2">
      <c r="A224" s="64"/>
    </row>
    <row r="225" spans="1:1" x14ac:dyDescent="0.2">
      <c r="A225" s="64"/>
    </row>
    <row r="226" spans="1:1" x14ac:dyDescent="0.2">
      <c r="A226" s="64"/>
    </row>
    <row r="227" spans="1:1" x14ac:dyDescent="0.2">
      <c r="A227" s="64"/>
    </row>
    <row r="228" spans="1:1" x14ac:dyDescent="0.2">
      <c r="A228" s="64"/>
    </row>
    <row r="229" spans="1:1" x14ac:dyDescent="0.2">
      <c r="A229" s="64"/>
    </row>
    <row r="230" spans="1:1" x14ac:dyDescent="0.2">
      <c r="A230" s="64"/>
    </row>
    <row r="231" spans="1:1" x14ac:dyDescent="0.2">
      <c r="A231" s="64"/>
    </row>
    <row r="232" spans="1:1" x14ac:dyDescent="0.2">
      <c r="A232" s="64"/>
    </row>
    <row r="233" spans="1:1" x14ac:dyDescent="0.2">
      <c r="A233" s="64"/>
    </row>
    <row r="234" spans="1:1" x14ac:dyDescent="0.2">
      <c r="A234" s="64"/>
    </row>
    <row r="235" spans="1:1" x14ac:dyDescent="0.2">
      <c r="A235" s="64"/>
    </row>
    <row r="236" spans="1:1" x14ac:dyDescent="0.2">
      <c r="A236" s="64"/>
    </row>
    <row r="237" spans="1:1" x14ac:dyDescent="0.2">
      <c r="A237" s="64"/>
    </row>
    <row r="238" spans="1:1" x14ac:dyDescent="0.2">
      <c r="A238" s="64"/>
    </row>
    <row r="239" spans="1:1" x14ac:dyDescent="0.2">
      <c r="A239" s="64"/>
    </row>
    <row r="240" spans="1:1" x14ac:dyDescent="0.2">
      <c r="A240" s="64"/>
    </row>
    <row r="241" spans="1:1" x14ac:dyDescent="0.2">
      <c r="A241" s="64"/>
    </row>
    <row r="242" spans="1:1" x14ac:dyDescent="0.2">
      <c r="A242" s="64"/>
    </row>
    <row r="243" spans="1:1" x14ac:dyDescent="0.2">
      <c r="A243" s="64"/>
    </row>
    <row r="244" spans="1:1" x14ac:dyDescent="0.2">
      <c r="A244" s="64"/>
    </row>
    <row r="245" spans="1:1" x14ac:dyDescent="0.2">
      <c r="A245" s="64"/>
    </row>
    <row r="246" spans="1:1" x14ac:dyDescent="0.2">
      <c r="A246" s="64"/>
    </row>
    <row r="247" spans="1:1" x14ac:dyDescent="0.2">
      <c r="A247" s="64"/>
    </row>
    <row r="248" spans="1:1" x14ac:dyDescent="0.2">
      <c r="A248" s="64"/>
    </row>
    <row r="249" spans="1:1" x14ac:dyDescent="0.2">
      <c r="A249" s="64"/>
    </row>
    <row r="250" spans="1:1" x14ac:dyDescent="0.2">
      <c r="A250" s="64"/>
    </row>
    <row r="251" spans="1:1" x14ac:dyDescent="0.2">
      <c r="A251" s="64"/>
    </row>
    <row r="252" spans="1:1" x14ac:dyDescent="0.2">
      <c r="A252" s="64"/>
    </row>
    <row r="253" spans="1:1" x14ac:dyDescent="0.2">
      <c r="A253" s="64"/>
    </row>
    <row r="254" spans="1:1" x14ac:dyDescent="0.2">
      <c r="A254" s="64"/>
    </row>
    <row r="255" spans="1:1" x14ac:dyDescent="0.2">
      <c r="A255" s="64"/>
    </row>
    <row r="256" spans="1:1" x14ac:dyDescent="0.2">
      <c r="A256" s="64"/>
    </row>
    <row r="257" spans="1:1" x14ac:dyDescent="0.2">
      <c r="A257" s="64"/>
    </row>
    <row r="258" spans="1:1" x14ac:dyDescent="0.2">
      <c r="A258" s="64"/>
    </row>
    <row r="259" spans="1:1" x14ac:dyDescent="0.2">
      <c r="A259" s="64"/>
    </row>
    <row r="260" spans="1:1" x14ac:dyDescent="0.2">
      <c r="A260" s="64"/>
    </row>
    <row r="261" spans="1:1" x14ac:dyDescent="0.2">
      <c r="A261" s="64"/>
    </row>
    <row r="262" spans="1:1" x14ac:dyDescent="0.2">
      <c r="A262" s="64"/>
    </row>
    <row r="263" spans="1:1" x14ac:dyDescent="0.2">
      <c r="A263" s="64"/>
    </row>
    <row r="264" spans="1:1" x14ac:dyDescent="0.2">
      <c r="A264" s="64"/>
    </row>
    <row r="265" spans="1:1" x14ac:dyDescent="0.2">
      <c r="A265" s="64"/>
    </row>
    <row r="266" spans="1:1" x14ac:dyDescent="0.2">
      <c r="A266" s="64"/>
    </row>
    <row r="267" spans="1:1" x14ac:dyDescent="0.2">
      <c r="A267" s="64"/>
    </row>
    <row r="268" spans="1:1" x14ac:dyDescent="0.2">
      <c r="A268" s="64"/>
    </row>
    <row r="269" spans="1:1" x14ac:dyDescent="0.2">
      <c r="A269" s="64"/>
    </row>
    <row r="270" spans="1:1" x14ac:dyDescent="0.2">
      <c r="A270" s="64"/>
    </row>
    <row r="271" spans="1:1" x14ac:dyDescent="0.2">
      <c r="A271" s="64"/>
    </row>
    <row r="272" spans="1:1" x14ac:dyDescent="0.2">
      <c r="A272" s="64"/>
    </row>
    <row r="273" spans="1:1" x14ac:dyDescent="0.2">
      <c r="A273" s="64"/>
    </row>
    <row r="274" spans="1:1" x14ac:dyDescent="0.2">
      <c r="A274" s="64"/>
    </row>
    <row r="275" spans="1:1" x14ac:dyDescent="0.2">
      <c r="A275" s="64"/>
    </row>
    <row r="276" spans="1:1" x14ac:dyDescent="0.2">
      <c r="A276" s="64"/>
    </row>
    <row r="277" spans="1:1" x14ac:dyDescent="0.2">
      <c r="A277" s="64"/>
    </row>
    <row r="278" spans="1:1" x14ac:dyDescent="0.2">
      <c r="A278" s="64"/>
    </row>
    <row r="279" spans="1:1" x14ac:dyDescent="0.2">
      <c r="A279" s="64"/>
    </row>
    <row r="280" spans="1:1" x14ac:dyDescent="0.2">
      <c r="A280" s="64"/>
    </row>
    <row r="281" spans="1:1" x14ac:dyDescent="0.2">
      <c r="A281" s="64"/>
    </row>
    <row r="282" spans="1:1" x14ac:dyDescent="0.2">
      <c r="A282" s="64"/>
    </row>
    <row r="283" spans="1:1" x14ac:dyDescent="0.2">
      <c r="A283" s="64"/>
    </row>
    <row r="284" spans="1:1" x14ac:dyDescent="0.2">
      <c r="A284" s="64"/>
    </row>
    <row r="285" spans="1:1" x14ac:dyDescent="0.2">
      <c r="A285" s="64"/>
    </row>
    <row r="286" spans="1:1" x14ac:dyDescent="0.2">
      <c r="A286" s="64"/>
    </row>
    <row r="287" spans="1:1" x14ac:dyDescent="0.2">
      <c r="A287" s="64"/>
    </row>
    <row r="288" spans="1:1" x14ac:dyDescent="0.2">
      <c r="A288" s="64"/>
    </row>
    <row r="289" spans="1:1" x14ac:dyDescent="0.2">
      <c r="A289" s="64"/>
    </row>
    <row r="290" spans="1:1" x14ac:dyDescent="0.2">
      <c r="A290" s="64"/>
    </row>
    <row r="291" spans="1:1" x14ac:dyDescent="0.2">
      <c r="A291" s="64"/>
    </row>
    <row r="292" spans="1:1" x14ac:dyDescent="0.2">
      <c r="A292" s="64"/>
    </row>
    <row r="293" spans="1:1" x14ac:dyDescent="0.2">
      <c r="A293" s="64"/>
    </row>
    <row r="294" spans="1:1" x14ac:dyDescent="0.2">
      <c r="A294" s="64"/>
    </row>
    <row r="295" spans="1:1" x14ac:dyDescent="0.2">
      <c r="A295" s="64"/>
    </row>
    <row r="296" spans="1:1" x14ac:dyDescent="0.2">
      <c r="A296" s="64"/>
    </row>
    <row r="297" spans="1:1" x14ac:dyDescent="0.2">
      <c r="A297" s="64"/>
    </row>
    <row r="298" spans="1:1" x14ac:dyDescent="0.2">
      <c r="A298" s="64"/>
    </row>
    <row r="299" spans="1:1" x14ac:dyDescent="0.2">
      <c r="A299" s="64"/>
    </row>
    <row r="300" spans="1:1" x14ac:dyDescent="0.2">
      <c r="A300" s="64"/>
    </row>
    <row r="301" spans="1:1" x14ac:dyDescent="0.2">
      <c r="A301" s="64"/>
    </row>
    <row r="302" spans="1:1" x14ac:dyDescent="0.2">
      <c r="A302" s="64"/>
    </row>
    <row r="303" spans="1:1" x14ac:dyDescent="0.2">
      <c r="A303" s="64"/>
    </row>
    <row r="304" spans="1:1" x14ac:dyDescent="0.2">
      <c r="A304" s="64"/>
    </row>
    <row r="305" spans="1:1" x14ac:dyDescent="0.2">
      <c r="A305" s="64"/>
    </row>
    <row r="306" spans="1:1" x14ac:dyDescent="0.2">
      <c r="A306" s="64"/>
    </row>
    <row r="307" spans="1:1" x14ac:dyDescent="0.2">
      <c r="A307" s="64"/>
    </row>
    <row r="308" spans="1:1" x14ac:dyDescent="0.2">
      <c r="A308" s="64"/>
    </row>
    <row r="309" spans="1:1" x14ac:dyDescent="0.2">
      <c r="A309" s="64"/>
    </row>
    <row r="310" spans="1:1" x14ac:dyDescent="0.2">
      <c r="A310" s="64"/>
    </row>
  </sheetData>
  <mergeCells count="143">
    <mergeCell ref="A7:A23"/>
    <mergeCell ref="A84:J84"/>
    <mergeCell ref="A40:B40"/>
    <mergeCell ref="A74:J74"/>
    <mergeCell ref="A83:J83"/>
    <mergeCell ref="A71:A73"/>
    <mergeCell ref="A61:A70"/>
    <mergeCell ref="A75:A82"/>
    <mergeCell ref="G38:H38"/>
    <mergeCell ref="I27:J27"/>
    <mergeCell ref="I28:J28"/>
    <mergeCell ref="I29:J29"/>
    <mergeCell ref="I30:J30"/>
    <mergeCell ref="I31:J31"/>
    <mergeCell ref="I32:J32"/>
    <mergeCell ref="I33:J33"/>
    <mergeCell ref="I34:J34"/>
    <mergeCell ref="I35:J35"/>
    <mergeCell ref="I36:J36"/>
    <mergeCell ref="I37:J37"/>
    <mergeCell ref="I38:J38"/>
    <mergeCell ref="G33:H33"/>
    <mergeCell ref="G34:H34"/>
    <mergeCell ref="G35:H35"/>
    <mergeCell ref="G31:H31"/>
    <mergeCell ref="G32:H32"/>
    <mergeCell ref="C38:D38"/>
    <mergeCell ref="E27:F27"/>
    <mergeCell ref="E28:F28"/>
    <mergeCell ref="E29:F29"/>
    <mergeCell ref="E30:F30"/>
    <mergeCell ref="E31:F31"/>
    <mergeCell ref="E32:F32"/>
    <mergeCell ref="E33:F33"/>
    <mergeCell ref="E34:F34"/>
    <mergeCell ref="E35:F35"/>
    <mergeCell ref="E36:F36"/>
    <mergeCell ref="E37:F37"/>
    <mergeCell ref="E38:F38"/>
    <mergeCell ref="I20:J20"/>
    <mergeCell ref="I21:J21"/>
    <mergeCell ref="I22:J22"/>
    <mergeCell ref="I23:J23"/>
    <mergeCell ref="C27:D27"/>
    <mergeCell ref="G27:H27"/>
    <mergeCell ref="G21:H21"/>
    <mergeCell ref="G22:H22"/>
    <mergeCell ref="G23:H23"/>
    <mergeCell ref="C23:D23"/>
    <mergeCell ref="C22:D22"/>
    <mergeCell ref="I8:J8"/>
    <mergeCell ref="I9:J9"/>
    <mergeCell ref="I10:J10"/>
    <mergeCell ref="I11:J11"/>
    <mergeCell ref="I12:J12"/>
    <mergeCell ref="I13:J13"/>
    <mergeCell ref="I14:J14"/>
    <mergeCell ref="I15:J15"/>
    <mergeCell ref="I16:J16"/>
    <mergeCell ref="I17:J17"/>
    <mergeCell ref="I18:J18"/>
    <mergeCell ref="I19:J19"/>
    <mergeCell ref="E22:F22"/>
    <mergeCell ref="E23:F23"/>
    <mergeCell ref="G8:H8"/>
    <mergeCell ref="G9:H9"/>
    <mergeCell ref="G10:H10"/>
    <mergeCell ref="G11:H11"/>
    <mergeCell ref="G12:H12"/>
    <mergeCell ref="G13:H13"/>
    <mergeCell ref="G14:H14"/>
    <mergeCell ref="G15:H15"/>
    <mergeCell ref="G16:H16"/>
    <mergeCell ref="G17:H17"/>
    <mergeCell ref="G18:H18"/>
    <mergeCell ref="G19:H19"/>
    <mergeCell ref="G20:H20"/>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C18:D18"/>
    <mergeCell ref="C19:D19"/>
    <mergeCell ref="C20:D20"/>
    <mergeCell ref="C21:D21"/>
    <mergeCell ref="A52:A59"/>
    <mergeCell ref="A60:J60"/>
    <mergeCell ref="A41:A50"/>
    <mergeCell ref="A51:J51"/>
    <mergeCell ref="A25:J25"/>
    <mergeCell ref="A27:A38"/>
    <mergeCell ref="A24:J24"/>
    <mergeCell ref="A26:J26"/>
    <mergeCell ref="A39:J39"/>
    <mergeCell ref="C28:D28"/>
    <mergeCell ref="C29:D29"/>
    <mergeCell ref="C30:D30"/>
    <mergeCell ref="C31:D31"/>
    <mergeCell ref="C32:D32"/>
    <mergeCell ref="C33:D33"/>
    <mergeCell ref="C34:D34"/>
    <mergeCell ref="C35:D35"/>
    <mergeCell ref="C36:D36"/>
    <mergeCell ref="C37:D37"/>
    <mergeCell ref="G36:H36"/>
    <mergeCell ref="G37:H37"/>
    <mergeCell ref="G28:H28"/>
    <mergeCell ref="G29:H29"/>
    <mergeCell ref="G30:H30"/>
    <mergeCell ref="A1:J2"/>
    <mergeCell ref="C14:D14"/>
    <mergeCell ref="C15:D15"/>
    <mergeCell ref="C16:D16"/>
    <mergeCell ref="C17:D17"/>
    <mergeCell ref="C8:D8"/>
    <mergeCell ref="C9:D9"/>
    <mergeCell ref="C10:D10"/>
    <mergeCell ref="C11:D11"/>
    <mergeCell ref="C12:D12"/>
    <mergeCell ref="C13:D13"/>
    <mergeCell ref="A3:B3"/>
    <mergeCell ref="C3:J3"/>
    <mergeCell ref="A6:B6"/>
    <mergeCell ref="A5:J5"/>
    <mergeCell ref="A4:J4"/>
    <mergeCell ref="C6:D6"/>
    <mergeCell ref="E6:F6"/>
    <mergeCell ref="G6:H6"/>
    <mergeCell ref="I6:J6"/>
    <mergeCell ref="C7:D7"/>
    <mergeCell ref="E7:F7"/>
    <mergeCell ref="G7:H7"/>
    <mergeCell ref="I7:J7"/>
  </mergeCells>
  <hyperlinks>
    <hyperlink ref="C72" r:id="rId1" display="=@if(b46&gt;0,B49*8/B46,0)" xr:uid="{00000000-0004-0000-0200-000000000000}"/>
    <hyperlink ref="D72:J72" r:id="rId2" display="=@if(b46&gt;0,B49*8/B46,0)" xr:uid="{00000000-0004-0000-0200-000001000000}"/>
  </hyperlinks>
  <pageMargins left="0.75" right="0.75" top="1" bottom="1" header="0.5" footer="0.5"/>
  <pageSetup orientation="portrait" r:id="rId3"/>
  <headerFooter alignWithMargins="0"/>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promptTitle="Select OS" prompt="Please select OS" xr:uid="{00000000-0002-0000-0200-000000000000}">
          <x14:formula1>
            <xm:f>Data!$A$4</xm:f>
          </x14:formula1>
          <xm:sqref>C7:D7</xm:sqref>
        </x14:dataValidation>
        <x14:dataValidation type="list" allowBlank="1" showErrorMessage="1" promptTitle="Select OS" prompt="Please select OS" xr:uid="{00000000-0002-0000-0200-000001000000}">
          <x14:formula1>
            <xm:f>Data!$A$4</xm:f>
          </x14:formula1>
          <xm:sqref>E7:J7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8"/>
  <sheetViews>
    <sheetView zoomScale="115" zoomScaleNormal="115" workbookViewId="0">
      <selection activeCell="B2" sqref="B2"/>
    </sheetView>
  </sheetViews>
  <sheetFormatPr defaultColWidth="9.140625" defaultRowHeight="12.75" x14ac:dyDescent="0.2"/>
  <cols>
    <col min="1" max="1" width="40.28515625" style="157" customWidth="1"/>
    <col min="2" max="2" width="125.42578125" style="157" customWidth="1"/>
    <col min="3" max="16384" width="9.140625" style="157"/>
  </cols>
  <sheetData>
    <row r="1" spans="1:2" ht="13.5" thickBot="1" x14ac:dyDescent="0.25">
      <c r="A1" s="143" t="s">
        <v>115</v>
      </c>
      <c r="B1" s="144" t="s">
        <v>116</v>
      </c>
    </row>
    <row r="2" spans="1:2" ht="127.5" x14ac:dyDescent="0.2">
      <c r="A2" s="145" t="s">
        <v>117</v>
      </c>
      <c r="B2" s="153" t="s">
        <v>185</v>
      </c>
    </row>
    <row r="3" spans="1:2" ht="25.5" x14ac:dyDescent="0.2">
      <c r="A3" s="146" t="s">
        <v>118</v>
      </c>
      <c r="B3" s="158" t="s">
        <v>119</v>
      </c>
    </row>
    <row r="4" spans="1:2" ht="127.5" x14ac:dyDescent="0.2">
      <c r="A4" s="146" t="s">
        <v>120</v>
      </c>
      <c r="B4" s="158" t="s">
        <v>121</v>
      </c>
    </row>
    <row r="5" spans="1:2" ht="63.75" x14ac:dyDescent="0.2">
      <c r="A5" s="146" t="s">
        <v>122</v>
      </c>
      <c r="B5" s="158" t="s">
        <v>123</v>
      </c>
    </row>
    <row r="6" spans="1:2" ht="38.25" x14ac:dyDescent="0.2">
      <c r="A6" s="146" t="s">
        <v>124</v>
      </c>
      <c r="B6" s="158" t="s">
        <v>125</v>
      </c>
    </row>
    <row r="7" spans="1:2" ht="114.75" x14ac:dyDescent="0.2">
      <c r="A7" s="146" t="s">
        <v>126</v>
      </c>
      <c r="B7" s="158" t="s">
        <v>127</v>
      </c>
    </row>
    <row r="8" spans="1:2" ht="76.5" x14ac:dyDescent="0.2">
      <c r="A8" s="147" t="s">
        <v>128</v>
      </c>
      <c r="B8" s="159" t="s">
        <v>183</v>
      </c>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31"/>
  <sheetViews>
    <sheetView topLeftCell="A4" workbookViewId="0">
      <selection activeCell="A48" sqref="A48"/>
    </sheetView>
  </sheetViews>
  <sheetFormatPr defaultColWidth="9.140625" defaultRowHeight="12.75" x14ac:dyDescent="0.2"/>
  <cols>
    <col min="1" max="1" width="19.140625" style="53" customWidth="1"/>
    <col min="2" max="2" width="22.85546875" style="53" bestFit="1" customWidth="1"/>
    <col min="3" max="3" width="21.28515625" style="53" customWidth="1"/>
    <col min="4" max="4" width="19.85546875" style="53" bestFit="1" customWidth="1"/>
    <col min="5" max="5" width="17.42578125" style="53" bestFit="1" customWidth="1"/>
    <col min="6" max="6" width="21.28515625" style="53" customWidth="1"/>
    <col min="7" max="7" width="23.85546875" style="53" customWidth="1"/>
    <col min="8" max="8" width="18.85546875" style="53" customWidth="1"/>
    <col min="9" max="9" width="16.85546875" style="53" customWidth="1"/>
    <col min="10" max="16384" width="9.140625" style="53"/>
  </cols>
  <sheetData>
    <row r="1" spans="1:12" ht="15" x14ac:dyDescent="0.25">
      <c r="A1" t="s">
        <v>24</v>
      </c>
      <c r="B1"/>
      <c r="C1"/>
      <c r="D1"/>
      <c r="E1"/>
      <c r="F1"/>
      <c r="G1"/>
      <c r="H1"/>
      <c r="I1"/>
      <c r="J1"/>
      <c r="K1"/>
      <c r="L1"/>
    </row>
    <row r="2" spans="1:12" ht="15" x14ac:dyDescent="0.25">
      <c r="A2"/>
      <c r="B2" t="s">
        <v>129</v>
      </c>
      <c r="C2" t="s">
        <v>130</v>
      </c>
      <c r="D2" t="s">
        <v>130</v>
      </c>
      <c r="E2" t="s">
        <v>130</v>
      </c>
      <c r="F2" t="s">
        <v>131</v>
      </c>
      <c r="G2"/>
      <c r="H2"/>
      <c r="I2"/>
      <c r="J2"/>
      <c r="K2"/>
      <c r="L2"/>
    </row>
    <row r="3" spans="1:12" ht="15" x14ac:dyDescent="0.25">
      <c r="A3" t="s">
        <v>132</v>
      </c>
      <c r="B3" t="s">
        <v>133</v>
      </c>
      <c r="C3" t="s">
        <v>134</v>
      </c>
      <c r="D3" t="s">
        <v>135</v>
      </c>
      <c r="E3" t="s">
        <v>136</v>
      </c>
      <c r="F3" t="s">
        <v>133</v>
      </c>
      <c r="G3" t="s">
        <v>134</v>
      </c>
      <c r="H3" t="s">
        <v>135</v>
      </c>
      <c r="I3" t="s">
        <v>136</v>
      </c>
      <c r="J3"/>
      <c r="K3"/>
      <c r="L3"/>
    </row>
    <row r="4" spans="1:12" ht="15" x14ac:dyDescent="0.25">
      <c r="A4" t="s">
        <v>13</v>
      </c>
      <c r="B4">
        <v>174024</v>
      </c>
      <c r="C4">
        <v>52.608541629000001</v>
      </c>
      <c r="D4">
        <v>19.054322891999998</v>
      </c>
      <c r="E4">
        <v>132.40873578</v>
      </c>
      <c r="F4">
        <v>2354516</v>
      </c>
      <c r="G4">
        <v>35.966012368999998</v>
      </c>
      <c r="H4">
        <v>8.2533898904999994</v>
      </c>
      <c r="I4">
        <v>376.5326867</v>
      </c>
      <c r="J4"/>
      <c r="K4"/>
      <c r="L4"/>
    </row>
    <row r="5" spans="1:12" ht="15" x14ac:dyDescent="0.25">
      <c r="A5" t="s">
        <v>137</v>
      </c>
      <c r="B5">
        <v>333008</v>
      </c>
      <c r="C5">
        <v>86.536456317000003</v>
      </c>
      <c r="D5">
        <v>28.366421719000002</v>
      </c>
      <c r="E5">
        <v>67.951801811999999</v>
      </c>
      <c r="F5">
        <v>415582</v>
      </c>
      <c r="G5">
        <v>101.19973369</v>
      </c>
      <c r="H5">
        <v>34.097385752999998</v>
      </c>
      <c r="I5">
        <v>247.59454986</v>
      </c>
      <c r="J5"/>
      <c r="K5"/>
      <c r="L5"/>
    </row>
    <row r="6" spans="1:12" ht="15" x14ac:dyDescent="0.25">
      <c r="A6"/>
      <c r="B6"/>
      <c r="C6"/>
      <c r="D6"/>
      <c r="E6"/>
      <c r="F6"/>
      <c r="G6"/>
      <c r="H6"/>
      <c r="I6"/>
      <c r="J6"/>
      <c r="K6"/>
      <c r="L6"/>
    </row>
    <row r="7" spans="1:12" ht="15" x14ac:dyDescent="0.25">
      <c r="A7" t="s">
        <v>138</v>
      </c>
      <c r="B7"/>
      <c r="C7"/>
      <c r="D7"/>
      <c r="E7"/>
      <c r="F7"/>
      <c r="G7"/>
      <c r="H7"/>
      <c r="I7"/>
      <c r="J7"/>
      <c r="K7"/>
      <c r="L7"/>
    </row>
    <row r="8" spans="1:12" ht="15" x14ac:dyDescent="0.25">
      <c r="A8"/>
      <c r="B8" t="s">
        <v>130</v>
      </c>
      <c r="C8" t="s">
        <v>129</v>
      </c>
      <c r="D8" t="s">
        <v>130</v>
      </c>
      <c r="E8" t="s">
        <v>130</v>
      </c>
      <c r="F8" t="s">
        <v>131</v>
      </c>
      <c r="G8"/>
      <c r="H8"/>
      <c r="I8"/>
      <c r="J8"/>
      <c r="K8"/>
      <c r="L8"/>
    </row>
    <row r="9" spans="1:12" ht="15" x14ac:dyDescent="0.25">
      <c r="A9" t="s">
        <v>132</v>
      </c>
      <c r="B9" t="s">
        <v>139</v>
      </c>
      <c r="C9" t="s">
        <v>134</v>
      </c>
      <c r="D9" t="s">
        <v>136</v>
      </c>
      <c r="E9" t="s">
        <v>134</v>
      </c>
      <c r="F9" t="s">
        <v>136</v>
      </c>
      <c r="G9"/>
      <c r="H9"/>
      <c r="I9"/>
      <c r="J9"/>
      <c r="K9"/>
      <c r="L9"/>
    </row>
    <row r="10" spans="1:12" ht="15" x14ac:dyDescent="0.25">
      <c r="A10" t="s">
        <v>13</v>
      </c>
      <c r="B10">
        <v>29</v>
      </c>
      <c r="C10">
        <v>2.6270740000000001E-3</v>
      </c>
      <c r="D10">
        <v>4.3619753999999998E-3</v>
      </c>
      <c r="E10">
        <v>2.6725791E-3</v>
      </c>
      <c r="F10">
        <v>1.0621634E-2</v>
      </c>
      <c r="G10"/>
      <c r="H10"/>
      <c r="I10"/>
      <c r="J10"/>
      <c r="K10"/>
      <c r="L10"/>
    </row>
    <row r="11" spans="1:12" ht="15" x14ac:dyDescent="0.25">
      <c r="A11" t="s">
        <v>137</v>
      </c>
      <c r="B11">
        <v>29</v>
      </c>
      <c r="C11">
        <v>2.2959747999999999E-3</v>
      </c>
      <c r="D11">
        <v>6.3678728000000004E-3</v>
      </c>
      <c r="E11">
        <v>2.4013433999999999E-3</v>
      </c>
      <c r="F11">
        <v>1.07398175E-2</v>
      </c>
      <c r="G11"/>
      <c r="H11"/>
      <c r="I11"/>
      <c r="J11"/>
      <c r="K11"/>
      <c r="L11"/>
    </row>
    <row r="12" spans="1:12" ht="15" x14ac:dyDescent="0.25">
      <c r="A12"/>
      <c r="B12"/>
      <c r="C12"/>
      <c r="D12"/>
      <c r="E12"/>
      <c r="F12"/>
      <c r="G12"/>
      <c r="H12"/>
      <c r="I12"/>
      <c r="J12"/>
      <c r="K12"/>
      <c r="L12"/>
    </row>
    <row r="13" spans="1:12" ht="15" x14ac:dyDescent="0.25">
      <c r="A13" t="s">
        <v>140</v>
      </c>
      <c r="B13"/>
      <c r="C13"/>
      <c r="D13"/>
      <c r="E13"/>
      <c r="F13"/>
      <c r="G13"/>
      <c r="H13"/>
      <c r="I13"/>
      <c r="J13"/>
      <c r="K13"/>
      <c r="L13"/>
    </row>
    <row r="14" spans="1:12" ht="15" x14ac:dyDescent="0.25">
      <c r="A14"/>
      <c r="B14" t="s">
        <v>129</v>
      </c>
      <c r="C14" t="s">
        <v>130</v>
      </c>
      <c r="D14" t="s">
        <v>130</v>
      </c>
      <c r="E14" t="s">
        <v>130</v>
      </c>
      <c r="F14" t="s">
        <v>131</v>
      </c>
      <c r="G14"/>
      <c r="H14"/>
      <c r="I14"/>
      <c r="J14"/>
      <c r="K14"/>
      <c r="L14"/>
    </row>
    <row r="15" spans="1:12" ht="15" x14ac:dyDescent="0.25">
      <c r="A15" t="s">
        <v>132</v>
      </c>
      <c r="B15" t="s">
        <v>134</v>
      </c>
      <c r="C15" t="s">
        <v>141</v>
      </c>
      <c r="D15" t="s">
        <v>136</v>
      </c>
      <c r="E15" t="s">
        <v>134</v>
      </c>
      <c r="F15" t="s">
        <v>141</v>
      </c>
      <c r="G15" t="s">
        <v>136</v>
      </c>
      <c r="H15"/>
      <c r="I15"/>
      <c r="J15"/>
      <c r="K15"/>
      <c r="L15"/>
    </row>
    <row r="16" spans="1:12" ht="15" x14ac:dyDescent="0.25">
      <c r="A16" t="s">
        <v>13</v>
      </c>
      <c r="B16">
        <v>90.859597077999993</v>
      </c>
      <c r="C16">
        <v>304</v>
      </c>
      <c r="D16">
        <v>254.74580345999999</v>
      </c>
      <c r="E16">
        <v>193.09717726</v>
      </c>
      <c r="F16">
        <v>304</v>
      </c>
      <c r="G16">
        <v>1999.5791512999999</v>
      </c>
      <c r="H16"/>
      <c r="I16"/>
      <c r="J16"/>
      <c r="K16"/>
      <c r="L16"/>
    </row>
    <row r="17" spans="1:12" ht="15" x14ac:dyDescent="0.25">
      <c r="A17" t="s">
        <v>137</v>
      </c>
      <c r="B17">
        <v>90.310426655000001</v>
      </c>
      <c r="C17">
        <v>304</v>
      </c>
      <c r="D17">
        <v>256.36356826999997</v>
      </c>
      <c r="E17">
        <v>193.14223595000001</v>
      </c>
      <c r="F17">
        <v>304</v>
      </c>
      <c r="G17">
        <v>1991.0388381</v>
      </c>
      <c r="H17"/>
      <c r="I17"/>
      <c r="J17"/>
      <c r="K17"/>
      <c r="L17"/>
    </row>
    <row r="18" spans="1:12" ht="15" x14ac:dyDescent="0.25">
      <c r="A18"/>
      <c r="B18"/>
      <c r="C18"/>
      <c r="D18"/>
      <c r="E18"/>
      <c r="F18"/>
      <c r="G18"/>
      <c r="H18"/>
      <c r="I18"/>
      <c r="J18"/>
      <c r="K18"/>
      <c r="L18"/>
    </row>
    <row r="19" spans="1:12" ht="15" x14ac:dyDescent="0.25">
      <c r="A19" t="s">
        <v>142</v>
      </c>
      <c r="B19"/>
      <c r="C19"/>
      <c r="D19"/>
      <c r="E19"/>
      <c r="F19"/>
      <c r="G19"/>
      <c r="H19"/>
      <c r="I19"/>
      <c r="J19"/>
      <c r="K19"/>
      <c r="L19"/>
    </row>
    <row r="20" spans="1:12" ht="15" x14ac:dyDescent="0.25">
      <c r="A20"/>
      <c r="B20" t="s">
        <v>129</v>
      </c>
      <c r="C20" t="s">
        <v>130</v>
      </c>
      <c r="D20" t="s">
        <v>130</v>
      </c>
      <c r="E20" t="s">
        <v>130</v>
      </c>
      <c r="F20" t="s">
        <v>131</v>
      </c>
      <c r="G20"/>
      <c r="H20"/>
      <c r="I20"/>
      <c r="J20"/>
      <c r="K20"/>
      <c r="L20"/>
    </row>
    <row r="21" spans="1:12" ht="15" x14ac:dyDescent="0.25">
      <c r="A21" t="s">
        <v>132</v>
      </c>
      <c r="B21" t="s">
        <v>139</v>
      </c>
      <c r="C21" t="s">
        <v>134</v>
      </c>
      <c r="D21" t="s">
        <v>135</v>
      </c>
      <c r="E21" t="s">
        <v>136</v>
      </c>
      <c r="F21" t="s">
        <v>134</v>
      </c>
      <c r="G21" t="s">
        <v>135</v>
      </c>
      <c r="H21" t="s">
        <v>136</v>
      </c>
      <c r="I21"/>
      <c r="J21"/>
      <c r="K21"/>
      <c r="L21"/>
    </row>
    <row r="22" spans="1:12" ht="15" x14ac:dyDescent="0.25">
      <c r="A22" t="s">
        <v>13</v>
      </c>
      <c r="B22">
        <v>29</v>
      </c>
      <c r="C22">
        <v>1.8740585800000001E-2</v>
      </c>
      <c r="D22">
        <v>5.1599135999999997E-3</v>
      </c>
      <c r="E22">
        <v>7.6012788999999997E-2</v>
      </c>
      <c r="F22">
        <v>2.5247393900000002E-2</v>
      </c>
      <c r="G22">
        <v>5.4951809000000004E-3</v>
      </c>
      <c r="H22">
        <v>0.15838734330000001</v>
      </c>
      <c r="I22"/>
      <c r="J22"/>
      <c r="K22"/>
      <c r="L22"/>
    </row>
    <row r="23" spans="1:12" ht="15" x14ac:dyDescent="0.25">
      <c r="A23" t="s">
        <v>137</v>
      </c>
      <c r="B23">
        <v>29</v>
      </c>
      <c r="C23">
        <v>2.5017205599999998E-2</v>
      </c>
      <c r="D23">
        <v>5.6135532000000004E-3</v>
      </c>
      <c r="E23">
        <v>5.8105345599999997E-2</v>
      </c>
      <c r="F23">
        <v>5.5746297299999997E-2</v>
      </c>
      <c r="G23">
        <v>2.8897289000000001E-3</v>
      </c>
      <c r="H23">
        <v>0.12782250710000001</v>
      </c>
      <c r="I23"/>
      <c r="J23"/>
      <c r="K23"/>
      <c r="L23"/>
    </row>
    <row r="24" spans="1:12" ht="15" x14ac:dyDescent="0.25">
      <c r="A24"/>
      <c r="B24"/>
      <c r="C24"/>
      <c r="D24"/>
      <c r="E24"/>
      <c r="F24"/>
      <c r="G24"/>
      <c r="H24"/>
      <c r="I24"/>
      <c r="J24"/>
      <c r="K24"/>
      <c r="L24"/>
    </row>
    <row r="25" spans="1:12" ht="15" x14ac:dyDescent="0.25">
      <c r="A25" t="s">
        <v>143</v>
      </c>
      <c r="B25"/>
      <c r="C25"/>
      <c r="D25"/>
      <c r="E25"/>
      <c r="F25"/>
      <c r="G25"/>
      <c r="H25"/>
      <c r="I25"/>
      <c r="J25"/>
      <c r="K25"/>
      <c r="L25"/>
    </row>
    <row r="26" spans="1:12" ht="15" x14ac:dyDescent="0.25">
      <c r="A26"/>
      <c r="B26" t="s">
        <v>129</v>
      </c>
      <c r="C26" t="s">
        <v>130</v>
      </c>
      <c r="D26" t="s">
        <v>130</v>
      </c>
      <c r="E26" t="s">
        <v>130</v>
      </c>
      <c r="F26" t="s">
        <v>131</v>
      </c>
      <c r="G26"/>
      <c r="H26"/>
      <c r="I26"/>
      <c r="J26"/>
      <c r="K26"/>
      <c r="L26"/>
    </row>
    <row r="27" spans="1:12" ht="15" x14ac:dyDescent="0.25">
      <c r="A27" t="s">
        <v>132</v>
      </c>
      <c r="B27" t="s">
        <v>139</v>
      </c>
      <c r="C27" t="s">
        <v>134</v>
      </c>
      <c r="D27" t="s">
        <v>135</v>
      </c>
      <c r="E27" t="s">
        <v>136</v>
      </c>
      <c r="F27" t="s">
        <v>134</v>
      </c>
      <c r="G27" t="s">
        <v>135</v>
      </c>
      <c r="H27" t="s">
        <v>136</v>
      </c>
      <c r="I27"/>
      <c r="J27"/>
      <c r="K27"/>
      <c r="L27"/>
    </row>
    <row r="28" spans="1:12" ht="15" x14ac:dyDescent="0.25">
      <c r="A28" t="s">
        <v>13</v>
      </c>
      <c r="B28">
        <v>29</v>
      </c>
      <c r="C28">
        <v>2.1121995300000002E-2</v>
      </c>
      <c r="D28">
        <v>2.2859490499999999E-2</v>
      </c>
      <c r="E28">
        <v>0.35550981370000001</v>
      </c>
      <c r="F28">
        <v>2.1959651899999998E-2</v>
      </c>
      <c r="G28">
        <v>2.0346890499999999E-2</v>
      </c>
      <c r="H28">
        <v>0.46524354839999998</v>
      </c>
      <c r="I28"/>
      <c r="J28"/>
      <c r="K28"/>
      <c r="L28"/>
    </row>
    <row r="29" spans="1:12" ht="15" x14ac:dyDescent="0.25">
      <c r="A29" t="s">
        <v>137</v>
      </c>
      <c r="B29">
        <v>29</v>
      </c>
      <c r="C29">
        <v>2.0566617700000001E-2</v>
      </c>
      <c r="D29">
        <v>3.11839587E-2</v>
      </c>
      <c r="E29">
        <v>9.62466971E-2</v>
      </c>
      <c r="F29">
        <v>2.2336366100000001E-2</v>
      </c>
      <c r="G29">
        <v>3.2594009200000003E-2</v>
      </c>
      <c r="H29">
        <v>0.1126788566</v>
      </c>
      <c r="I29"/>
      <c r="J29"/>
      <c r="K29"/>
      <c r="L29"/>
    </row>
    <row r="30" spans="1:12" ht="15" x14ac:dyDescent="0.25">
      <c r="A30"/>
      <c r="B30"/>
      <c r="C30"/>
      <c r="D30"/>
      <c r="E30"/>
      <c r="F30"/>
      <c r="G30"/>
      <c r="H30"/>
      <c r="I30"/>
      <c r="J30"/>
      <c r="K30"/>
      <c r="L30"/>
    </row>
    <row r="31" spans="1:12" ht="15" x14ac:dyDescent="0.25">
      <c r="A31"/>
      <c r="B31"/>
      <c r="C31"/>
      <c r="D31"/>
      <c r="E31"/>
      <c r="F31"/>
      <c r="G31"/>
      <c r="H31"/>
      <c r="I31"/>
      <c r="J31"/>
      <c r="K31"/>
      <c r="L31"/>
    </row>
    <row r="32" spans="1:12" ht="15" x14ac:dyDescent="0.25">
      <c r="A32"/>
      <c r="B32"/>
      <c r="C32"/>
      <c r="D32"/>
      <c r="E32"/>
      <c r="F32"/>
      <c r="G32"/>
      <c r="H32"/>
      <c r="I32"/>
      <c r="J32"/>
      <c r="K32"/>
      <c r="L32"/>
    </row>
    <row r="33" spans="1:12" ht="15" x14ac:dyDescent="0.25">
      <c r="A33"/>
      <c r="B33"/>
      <c r="C33"/>
      <c r="D33"/>
      <c r="E33"/>
      <c r="F33"/>
      <c r="G33"/>
      <c r="H33"/>
      <c r="I33"/>
      <c r="J33"/>
      <c r="K33"/>
      <c r="L33"/>
    </row>
    <row r="34" spans="1:12" ht="15" x14ac:dyDescent="0.25">
      <c r="A34"/>
      <c r="B34"/>
      <c r="C34"/>
      <c r="D34"/>
      <c r="E34"/>
      <c r="F34"/>
      <c r="G34"/>
      <c r="H34"/>
      <c r="I34"/>
      <c r="J34"/>
      <c r="K34"/>
      <c r="L34"/>
    </row>
    <row r="35" spans="1:12" ht="15" x14ac:dyDescent="0.25">
      <c r="A35"/>
      <c r="B35"/>
      <c r="C35"/>
      <c r="D35"/>
      <c r="E35"/>
      <c r="F35"/>
      <c r="G35"/>
      <c r="H35"/>
      <c r="I35"/>
      <c r="J35"/>
      <c r="K35"/>
      <c r="L35"/>
    </row>
    <row r="36" spans="1:12" ht="15" x14ac:dyDescent="0.25">
      <c r="A36"/>
      <c r="B36"/>
      <c r="C36"/>
      <c r="D36"/>
      <c r="E36"/>
      <c r="F36"/>
      <c r="G36"/>
      <c r="H36"/>
      <c r="I36"/>
      <c r="J36"/>
      <c r="K36"/>
      <c r="L36"/>
    </row>
    <row r="37" spans="1:12" ht="15" x14ac:dyDescent="0.25">
      <c r="A37" t="s">
        <v>144</v>
      </c>
      <c r="B37"/>
      <c r="C37"/>
      <c r="D37"/>
      <c r="E37"/>
      <c r="F37"/>
      <c r="G37"/>
      <c r="H37"/>
      <c r="I37"/>
      <c r="J37"/>
      <c r="K37"/>
      <c r="L37"/>
    </row>
    <row r="38" spans="1:12" ht="15" x14ac:dyDescent="0.25">
      <c r="A38"/>
      <c r="B38" t="s">
        <v>129</v>
      </c>
      <c r="C38" t="s">
        <v>130</v>
      </c>
      <c r="D38" t="s">
        <v>130</v>
      </c>
      <c r="E38" t="s">
        <v>130</v>
      </c>
      <c r="F38" t="s">
        <v>131</v>
      </c>
      <c r="G38"/>
      <c r="H38"/>
      <c r="I38"/>
      <c r="J38"/>
      <c r="K38"/>
      <c r="L38"/>
    </row>
    <row r="39" spans="1:12" ht="15" x14ac:dyDescent="0.25">
      <c r="A39" t="s">
        <v>132</v>
      </c>
      <c r="B39" t="s">
        <v>139</v>
      </c>
      <c r="C39" t="s">
        <v>134</v>
      </c>
      <c r="D39" t="s">
        <v>135</v>
      </c>
      <c r="E39" t="s">
        <v>136</v>
      </c>
      <c r="F39" t="s">
        <v>134</v>
      </c>
      <c r="G39" t="s">
        <v>135</v>
      </c>
      <c r="H39" t="s">
        <v>136</v>
      </c>
      <c r="I39"/>
      <c r="J39"/>
      <c r="K39"/>
      <c r="L39"/>
    </row>
    <row r="40" spans="1:12" ht="15" x14ac:dyDescent="0.25">
      <c r="A40" t="s">
        <v>13</v>
      </c>
      <c r="B40">
        <v>29</v>
      </c>
      <c r="C40">
        <v>7.7059505000000002E-3</v>
      </c>
      <c r="D40">
        <v>3.529693E-3</v>
      </c>
      <c r="E40">
        <v>1.37188702E-2</v>
      </c>
      <c r="F40">
        <v>9.7991103000000003E-3</v>
      </c>
      <c r="G40">
        <v>3.3673975E-3</v>
      </c>
      <c r="H40">
        <v>4.5519492199999997E-2</v>
      </c>
      <c r="I40"/>
      <c r="J40"/>
      <c r="K40"/>
      <c r="L40"/>
    </row>
    <row r="41" spans="1:12" ht="15" x14ac:dyDescent="0.25">
      <c r="A41" t="s">
        <v>137</v>
      </c>
      <c r="B41">
        <v>29</v>
      </c>
      <c r="C41">
        <v>1.3808065099999999E-2</v>
      </c>
      <c r="D41">
        <v>4.0308755000000003E-3</v>
      </c>
      <c r="E41">
        <v>1.24463232E-2</v>
      </c>
      <c r="F41">
        <v>3.8345230600000002E-2</v>
      </c>
      <c r="G41">
        <v>2.2141600000000002E-5</v>
      </c>
      <c r="H41">
        <v>5.4396955699999999E-2</v>
      </c>
      <c r="I41"/>
      <c r="J41"/>
      <c r="K41"/>
      <c r="L41"/>
    </row>
    <row r="42" spans="1:12" ht="15" x14ac:dyDescent="0.25">
      <c r="A42"/>
      <c r="B42"/>
      <c r="C42"/>
      <c r="D42"/>
      <c r="E42"/>
      <c r="F42"/>
      <c r="G42"/>
      <c r="H42"/>
      <c r="I42"/>
      <c r="J42"/>
      <c r="K42"/>
      <c r="L42"/>
    </row>
    <row r="43" spans="1:12" ht="15" x14ac:dyDescent="0.25">
      <c r="A43" t="s">
        <v>95</v>
      </c>
      <c r="B43"/>
      <c r="C43"/>
      <c r="D43"/>
      <c r="E43"/>
      <c r="F43"/>
      <c r="G43"/>
      <c r="H43"/>
      <c r="I43"/>
      <c r="J43"/>
      <c r="K43"/>
      <c r="L43"/>
    </row>
    <row r="44" spans="1:12" ht="15" x14ac:dyDescent="0.25">
      <c r="A44"/>
      <c r="B44" t="s">
        <v>129</v>
      </c>
      <c r="C44" t="s">
        <v>130</v>
      </c>
      <c r="D44" t="s">
        <v>130</v>
      </c>
      <c r="E44" t="s">
        <v>130</v>
      </c>
      <c r="F44" t="s">
        <v>130</v>
      </c>
      <c r="G44" t="s">
        <v>131</v>
      </c>
      <c r="H44"/>
      <c r="I44"/>
      <c r="J44"/>
      <c r="K44"/>
      <c r="L44"/>
    </row>
    <row r="45" spans="1:12" ht="15" x14ac:dyDescent="0.25">
      <c r="A45" t="s">
        <v>132</v>
      </c>
      <c r="B45" t="s">
        <v>134</v>
      </c>
      <c r="C45" t="s">
        <v>135</v>
      </c>
      <c r="D45" t="s">
        <v>136</v>
      </c>
      <c r="E45" t="s">
        <v>141</v>
      </c>
      <c r="F45" t="s">
        <v>134</v>
      </c>
      <c r="G45" t="s">
        <v>135</v>
      </c>
      <c r="H45" t="s">
        <v>136</v>
      </c>
      <c r="I45" t="s">
        <v>141</v>
      </c>
      <c r="J45"/>
      <c r="K45"/>
      <c r="L45"/>
    </row>
    <row r="46" spans="1:12" ht="15" x14ac:dyDescent="0.25">
      <c r="A46" t="s">
        <v>13</v>
      </c>
      <c r="B46">
        <v>841.44778226999995</v>
      </c>
      <c r="C46">
        <v>3189.7424437</v>
      </c>
      <c r="D46">
        <v>12452.063242</v>
      </c>
      <c r="E46">
        <v>0</v>
      </c>
      <c r="F46">
        <v>783.05635411000003</v>
      </c>
      <c r="G46">
        <v>2683.5783477</v>
      </c>
      <c r="H46">
        <v>32399.309738</v>
      </c>
      <c r="I46">
        <v>0</v>
      </c>
      <c r="J46"/>
      <c r="K46"/>
      <c r="L46"/>
    </row>
    <row r="47" spans="1:12" ht="15" x14ac:dyDescent="0.25">
      <c r="A47" t="s">
        <v>137</v>
      </c>
      <c r="B47">
        <v>834.12289067999995</v>
      </c>
      <c r="C47">
        <v>3191.2927411000001</v>
      </c>
      <c r="D47">
        <v>12447.580054</v>
      </c>
      <c r="E47">
        <v>0</v>
      </c>
      <c r="F47">
        <v>784.83108097000002</v>
      </c>
      <c r="G47">
        <v>2658.2251342999998</v>
      </c>
      <c r="H47">
        <v>32548.847558000001</v>
      </c>
      <c r="I47">
        <v>0</v>
      </c>
      <c r="J47"/>
      <c r="K47"/>
      <c r="L47"/>
    </row>
    <row r="48" spans="1:12" ht="15" x14ac:dyDescent="0.25">
      <c r="A48"/>
      <c r="B48"/>
      <c r="C48"/>
      <c r="D48"/>
      <c r="E48"/>
      <c r="F48"/>
      <c r="G48"/>
      <c r="H48"/>
      <c r="I48"/>
      <c r="J48"/>
      <c r="K48"/>
      <c r="L48"/>
    </row>
    <row r="49" spans="1:12" ht="15" x14ac:dyDescent="0.25">
      <c r="A49" t="s">
        <v>92</v>
      </c>
      <c r="B49"/>
      <c r="C49"/>
      <c r="D49"/>
      <c r="E49"/>
      <c r="F49"/>
      <c r="G49"/>
      <c r="H49"/>
      <c r="I49"/>
      <c r="J49"/>
      <c r="K49"/>
      <c r="L49"/>
    </row>
    <row r="50" spans="1:12" ht="15" x14ac:dyDescent="0.25">
      <c r="A50"/>
      <c r="B50" t="s">
        <v>129</v>
      </c>
      <c r="C50" t="s">
        <v>130</v>
      </c>
      <c r="D50" t="s">
        <v>130</v>
      </c>
      <c r="E50" t="s">
        <v>130</v>
      </c>
      <c r="F50" t="s">
        <v>131</v>
      </c>
      <c r="G50"/>
      <c r="H50"/>
      <c r="I50"/>
      <c r="J50"/>
      <c r="K50"/>
      <c r="L50"/>
    </row>
    <row r="51" spans="1:12" ht="15" x14ac:dyDescent="0.25">
      <c r="A51" t="s">
        <v>132</v>
      </c>
      <c r="B51" t="s">
        <v>134</v>
      </c>
      <c r="C51" t="s">
        <v>135</v>
      </c>
      <c r="D51" t="s">
        <v>136</v>
      </c>
      <c r="E51" t="s">
        <v>134</v>
      </c>
      <c r="F51" t="s">
        <v>135</v>
      </c>
      <c r="G51" t="s">
        <v>136</v>
      </c>
      <c r="H51"/>
      <c r="I51"/>
      <c r="J51"/>
      <c r="K51"/>
      <c r="L51"/>
    </row>
    <row r="52" spans="1:12" ht="15" x14ac:dyDescent="0.25">
      <c r="A52" t="s">
        <v>13</v>
      </c>
      <c r="B52">
        <v>3.1906829999999998E-4</v>
      </c>
      <c r="C52">
        <v>0</v>
      </c>
      <c r="D52">
        <v>1.1236058E-3</v>
      </c>
      <c r="E52">
        <v>1.468354E-4</v>
      </c>
      <c r="F52">
        <v>0</v>
      </c>
      <c r="G52">
        <v>1.8348666000000001E-3</v>
      </c>
      <c r="H52"/>
      <c r="I52"/>
      <c r="J52"/>
      <c r="K52"/>
      <c r="L52"/>
    </row>
    <row r="53" spans="1:12" ht="15" x14ac:dyDescent="0.25">
      <c r="A53" t="s">
        <v>137</v>
      </c>
      <c r="B53">
        <v>2.376608E-4</v>
      </c>
      <c r="C53">
        <v>0</v>
      </c>
      <c r="D53">
        <v>2.1434585000000002E-3</v>
      </c>
      <c r="E53">
        <v>2.104532E-4</v>
      </c>
      <c r="F53">
        <v>0</v>
      </c>
      <c r="G53">
        <v>2.7606254000000002E-3</v>
      </c>
      <c r="H53"/>
      <c r="I53"/>
      <c r="J53"/>
      <c r="K53"/>
      <c r="L53"/>
    </row>
    <row r="54" spans="1:12" ht="15" x14ac:dyDescent="0.25">
      <c r="A54"/>
      <c r="B54"/>
      <c r="C54"/>
      <c r="D54"/>
      <c r="E54"/>
      <c r="F54"/>
      <c r="G54"/>
      <c r="H54"/>
      <c r="I54"/>
      <c r="J54"/>
      <c r="K54"/>
      <c r="L54"/>
    </row>
    <row r="55" spans="1:12" ht="15" x14ac:dyDescent="0.25">
      <c r="A55" t="s">
        <v>145</v>
      </c>
      <c r="B55"/>
      <c r="C55"/>
      <c r="D55"/>
      <c r="E55"/>
      <c r="F55"/>
      <c r="G55"/>
      <c r="H55"/>
      <c r="I55"/>
      <c r="J55"/>
      <c r="K55"/>
      <c r="L55"/>
    </row>
    <row r="56" spans="1:12" ht="15" x14ac:dyDescent="0.25">
      <c r="A56"/>
      <c r="B56" t="s">
        <v>129</v>
      </c>
      <c r="C56" t="s">
        <v>130</v>
      </c>
      <c r="D56" t="s">
        <v>130</v>
      </c>
      <c r="E56" t="s">
        <v>130</v>
      </c>
      <c r="F56" t="s">
        <v>131</v>
      </c>
      <c r="G56"/>
      <c r="H56"/>
      <c r="I56"/>
      <c r="J56"/>
      <c r="K56"/>
      <c r="L56"/>
    </row>
    <row r="57" spans="1:12" ht="15" x14ac:dyDescent="0.25">
      <c r="A57" t="s">
        <v>132</v>
      </c>
      <c r="B57" t="s">
        <v>134</v>
      </c>
      <c r="C57" t="s">
        <v>135</v>
      </c>
      <c r="D57" t="s">
        <v>136</v>
      </c>
      <c r="E57" t="s">
        <v>134</v>
      </c>
      <c r="F57" t="s">
        <v>135</v>
      </c>
      <c r="G57" t="s">
        <v>136</v>
      </c>
      <c r="H57"/>
      <c r="I57"/>
      <c r="J57"/>
      <c r="K57"/>
      <c r="L57"/>
    </row>
    <row r="58" spans="1:12" ht="15" x14ac:dyDescent="0.25">
      <c r="A58" t="s">
        <v>13</v>
      </c>
      <c r="B58">
        <v>1.5823542999999999E-3</v>
      </c>
      <c r="C58">
        <v>0</v>
      </c>
      <c r="D58">
        <v>7.3252762000000004E-3</v>
      </c>
      <c r="E58">
        <v>1.2393345000000001E-3</v>
      </c>
      <c r="F58">
        <v>0</v>
      </c>
      <c r="G58">
        <v>1.2355685200000001E-2</v>
      </c>
      <c r="H58"/>
      <c r="I58"/>
      <c r="J58"/>
      <c r="K58"/>
      <c r="L58"/>
    </row>
    <row r="59" spans="1:12" ht="15" x14ac:dyDescent="0.25">
      <c r="A59" t="s">
        <v>137</v>
      </c>
      <c r="B59">
        <v>1.3767858E-3</v>
      </c>
      <c r="C59">
        <v>0</v>
      </c>
      <c r="D59">
        <v>1.5963138599999999E-2</v>
      </c>
      <c r="E59">
        <v>2.4226497100000001E-2</v>
      </c>
      <c r="F59">
        <v>0</v>
      </c>
      <c r="G59">
        <v>-4.6486123999999997E-2</v>
      </c>
      <c r="H59"/>
      <c r="I59"/>
      <c r="J59"/>
      <c r="K59"/>
      <c r="L59"/>
    </row>
    <row r="60" spans="1:12" ht="15" x14ac:dyDescent="0.25">
      <c r="A60"/>
      <c r="B60"/>
      <c r="C60"/>
      <c r="D60"/>
      <c r="E60"/>
      <c r="F60"/>
      <c r="G60"/>
      <c r="H60"/>
      <c r="I60"/>
      <c r="J60"/>
      <c r="K60"/>
      <c r="L60"/>
    </row>
    <row r="61" spans="1:12" ht="15" x14ac:dyDescent="0.25">
      <c r="A61" t="s">
        <v>146</v>
      </c>
      <c r="B61"/>
      <c r="C61"/>
      <c r="D61"/>
      <c r="E61"/>
      <c r="F61"/>
      <c r="G61"/>
      <c r="H61"/>
      <c r="I61"/>
      <c r="J61"/>
      <c r="K61"/>
      <c r="L61"/>
    </row>
    <row r="62" spans="1:12" ht="15" x14ac:dyDescent="0.25">
      <c r="A62"/>
      <c r="B62" t="s">
        <v>129</v>
      </c>
      <c r="C62" t="s">
        <v>130</v>
      </c>
      <c r="D62" t="s">
        <v>130</v>
      </c>
      <c r="E62" t="s">
        <v>130</v>
      </c>
      <c r="F62" t="s">
        <v>130</v>
      </c>
      <c r="G62" t="s">
        <v>131</v>
      </c>
      <c r="H62"/>
      <c r="I62"/>
      <c r="J62"/>
      <c r="K62"/>
      <c r="L62"/>
    </row>
    <row r="63" spans="1:12" ht="15" x14ac:dyDescent="0.25">
      <c r="A63" t="s">
        <v>132</v>
      </c>
      <c r="B63" t="s">
        <v>134</v>
      </c>
      <c r="C63" t="s">
        <v>135</v>
      </c>
      <c r="D63" t="s">
        <v>136</v>
      </c>
      <c r="E63" t="s">
        <v>141</v>
      </c>
      <c r="F63" t="s">
        <v>134</v>
      </c>
      <c r="G63" t="s">
        <v>135</v>
      </c>
      <c r="H63" t="s">
        <v>136</v>
      </c>
      <c r="I63" t="s">
        <v>141</v>
      </c>
      <c r="J63"/>
      <c r="K63"/>
      <c r="L63"/>
    </row>
    <row r="64" spans="1:12" ht="15" x14ac:dyDescent="0.25">
      <c r="A64" t="s">
        <v>13</v>
      </c>
      <c r="B64">
        <v>2.6127511E-3</v>
      </c>
      <c r="C64">
        <v>0</v>
      </c>
      <c r="D64">
        <v>3.9431253000000001E-3</v>
      </c>
      <c r="E64">
        <v>0</v>
      </c>
      <c r="F64">
        <v>2.6503925999999999E-3</v>
      </c>
      <c r="G64">
        <v>0</v>
      </c>
      <c r="H64">
        <v>9.7494972999999999E-3</v>
      </c>
      <c r="I64">
        <v>0</v>
      </c>
      <c r="J64"/>
      <c r="K64"/>
      <c r="L64"/>
    </row>
    <row r="65" spans="1:12" ht="15" x14ac:dyDescent="0.25">
      <c r="A65" t="s">
        <v>137</v>
      </c>
      <c r="B65">
        <v>2.2812881999999999E-3</v>
      </c>
      <c r="C65">
        <v>0</v>
      </c>
      <c r="D65">
        <v>6.2978100999999996E-3</v>
      </c>
      <c r="E65">
        <v>0</v>
      </c>
      <c r="F65">
        <v>2.3850604000000002E-3</v>
      </c>
      <c r="G65">
        <v>0</v>
      </c>
      <c r="H65">
        <v>1.0264251699999999E-2</v>
      </c>
      <c r="I65">
        <v>0</v>
      </c>
      <c r="J65"/>
      <c r="K65"/>
      <c r="L65"/>
    </row>
    <row r="66" spans="1:12" ht="15" x14ac:dyDescent="0.25">
      <c r="A66"/>
      <c r="B66"/>
      <c r="C66"/>
      <c r="D66"/>
      <c r="E66"/>
      <c r="F66"/>
      <c r="G66"/>
      <c r="H66"/>
      <c r="I66"/>
      <c r="J66"/>
      <c r="K66"/>
      <c r="L66"/>
    </row>
    <row r="67" spans="1:12" ht="15" x14ac:dyDescent="0.25">
      <c r="A67" t="s">
        <v>147</v>
      </c>
      <c r="B67"/>
      <c r="C67"/>
      <c r="D67"/>
      <c r="E67"/>
      <c r="F67"/>
      <c r="G67"/>
      <c r="H67"/>
      <c r="I67"/>
      <c r="J67"/>
      <c r="K67"/>
      <c r="L67"/>
    </row>
    <row r="68" spans="1:12" ht="15" x14ac:dyDescent="0.25">
      <c r="A68"/>
      <c r="B68" t="s">
        <v>129</v>
      </c>
      <c r="C68" t="s">
        <v>130</v>
      </c>
      <c r="D68" t="s">
        <v>130</v>
      </c>
      <c r="E68" t="s">
        <v>130</v>
      </c>
      <c r="F68" t="s">
        <v>130</v>
      </c>
      <c r="G68" t="s">
        <v>131</v>
      </c>
      <c r="H68"/>
      <c r="I68"/>
      <c r="J68"/>
      <c r="K68"/>
      <c r="L68"/>
    </row>
    <row r="69" spans="1:12" ht="15" x14ac:dyDescent="0.25">
      <c r="A69" t="s">
        <v>132</v>
      </c>
      <c r="B69" t="s">
        <v>134</v>
      </c>
      <c r="C69" t="s">
        <v>135</v>
      </c>
      <c r="D69" t="s">
        <v>136</v>
      </c>
      <c r="E69" t="s">
        <v>141</v>
      </c>
      <c r="F69" t="s">
        <v>134</v>
      </c>
      <c r="G69" t="s">
        <v>135</v>
      </c>
      <c r="H69" t="s">
        <v>136</v>
      </c>
      <c r="I69" t="s">
        <v>141</v>
      </c>
      <c r="J69"/>
      <c r="K69"/>
      <c r="L69"/>
    </row>
    <row r="70" spans="1:12" ht="15" x14ac:dyDescent="0.25">
      <c r="A70" t="s">
        <v>13</v>
      </c>
      <c r="B70">
        <v>1.43229E-5</v>
      </c>
      <c r="C70">
        <v>0</v>
      </c>
      <c r="D70">
        <v>4.188501E-4</v>
      </c>
      <c r="E70">
        <v>0</v>
      </c>
      <c r="F70">
        <v>2.2186499999999998E-5</v>
      </c>
      <c r="G70">
        <v>0</v>
      </c>
      <c r="H70">
        <v>8.7213679999999997E-4</v>
      </c>
      <c r="I70">
        <v>0</v>
      </c>
      <c r="J70"/>
      <c r="K70"/>
      <c r="L70"/>
    </row>
    <row r="71" spans="1:12" ht="15" x14ac:dyDescent="0.25">
      <c r="A71" t="s">
        <v>137</v>
      </c>
      <c r="B71">
        <v>1.4686599999999999E-5</v>
      </c>
      <c r="C71">
        <v>0</v>
      </c>
      <c r="D71">
        <v>7.0062700000000003E-5</v>
      </c>
      <c r="E71">
        <v>0</v>
      </c>
      <c r="F71">
        <v>1.6283E-5</v>
      </c>
      <c r="G71">
        <v>0</v>
      </c>
      <c r="H71">
        <v>4.7556589999999999E-4</v>
      </c>
      <c r="I71">
        <v>0</v>
      </c>
      <c r="J71"/>
      <c r="K71"/>
      <c r="L71"/>
    </row>
    <row r="72" spans="1:12" ht="15" x14ac:dyDescent="0.25">
      <c r="A72"/>
      <c r="B72"/>
      <c r="C72"/>
      <c r="D72"/>
      <c r="E72"/>
      <c r="F72"/>
      <c r="G72"/>
      <c r="H72"/>
      <c r="I72"/>
      <c r="J72"/>
      <c r="K72"/>
      <c r="L72"/>
    </row>
    <row r="73" spans="1:12" ht="15" x14ac:dyDescent="0.25">
      <c r="A73" t="s">
        <v>148</v>
      </c>
      <c r="B73"/>
      <c r="C73"/>
      <c r="D73"/>
      <c r="E73"/>
      <c r="F73"/>
      <c r="G73"/>
      <c r="H73"/>
      <c r="I73"/>
      <c r="J73"/>
      <c r="K73"/>
      <c r="L73"/>
    </row>
    <row r="74" spans="1:12" ht="15" x14ac:dyDescent="0.25">
      <c r="A74"/>
      <c r="B74" t="s">
        <v>129</v>
      </c>
      <c r="C74" t="s">
        <v>130</v>
      </c>
      <c r="D74" t="s">
        <v>130</v>
      </c>
      <c r="E74" t="s">
        <v>130</v>
      </c>
      <c r="F74" t="s">
        <v>131</v>
      </c>
      <c r="G74"/>
      <c r="H74"/>
      <c r="I74"/>
      <c r="J74"/>
      <c r="K74"/>
      <c r="L74"/>
    </row>
    <row r="75" spans="1:12" ht="15" x14ac:dyDescent="0.25">
      <c r="A75" t="s">
        <v>132</v>
      </c>
      <c r="B75" t="s">
        <v>134</v>
      </c>
      <c r="C75" t="s">
        <v>135</v>
      </c>
      <c r="D75" t="s">
        <v>136</v>
      </c>
      <c r="E75" t="s">
        <v>134</v>
      </c>
      <c r="F75" t="s">
        <v>135</v>
      </c>
      <c r="G75" t="s">
        <v>136</v>
      </c>
      <c r="H75"/>
      <c r="I75"/>
      <c r="J75"/>
      <c r="K75"/>
      <c r="L75"/>
    </row>
    <row r="76" spans="1:12" ht="15" x14ac:dyDescent="0.25">
      <c r="A76" t="s">
        <v>13</v>
      </c>
      <c r="B76">
        <v>6.0477172000000003E-3</v>
      </c>
      <c r="C76">
        <v>1.6302205999999999E-3</v>
      </c>
      <c r="D76">
        <v>2.64318846E-2</v>
      </c>
      <c r="E76">
        <v>7.8576626000000007E-3</v>
      </c>
      <c r="F76">
        <v>2.1277834E-3</v>
      </c>
      <c r="G76">
        <v>5.0667274900000003E-2</v>
      </c>
      <c r="H76"/>
      <c r="I76"/>
      <c r="J76"/>
      <c r="K76"/>
      <c r="L76"/>
    </row>
    <row r="77" spans="1:12" ht="15" x14ac:dyDescent="0.25">
      <c r="A77" t="s">
        <v>137</v>
      </c>
      <c r="B77">
        <v>6.3504095999999998E-3</v>
      </c>
      <c r="C77">
        <v>1.5826777E-3</v>
      </c>
      <c r="D77">
        <v>1.8672417399999999E-2</v>
      </c>
      <c r="E77">
        <v>9.5472483999999996E-3</v>
      </c>
      <c r="F77">
        <v>2.8675873000000001E-3</v>
      </c>
      <c r="G77">
        <v>1.9728446E-2</v>
      </c>
      <c r="H77"/>
      <c r="I77"/>
      <c r="J77"/>
      <c r="K77"/>
      <c r="L77"/>
    </row>
    <row r="78" spans="1:12" ht="15" x14ac:dyDescent="0.25">
      <c r="A78"/>
      <c r="B78"/>
      <c r="C78"/>
      <c r="D78"/>
      <c r="E78"/>
      <c r="F78"/>
      <c r="G78"/>
      <c r="H78"/>
      <c r="I78"/>
      <c r="J78"/>
      <c r="K78"/>
      <c r="L78"/>
    </row>
    <row r="79" spans="1:12" ht="15" x14ac:dyDescent="0.25">
      <c r="A79" t="s">
        <v>90</v>
      </c>
      <c r="B79"/>
      <c r="C79"/>
      <c r="D79"/>
      <c r="E79"/>
      <c r="F79"/>
      <c r="G79"/>
      <c r="H79"/>
      <c r="I79"/>
      <c r="J79"/>
      <c r="K79"/>
      <c r="L79"/>
    </row>
    <row r="80" spans="1:12" ht="15" x14ac:dyDescent="0.25">
      <c r="A80"/>
      <c r="B80" t="s">
        <v>129</v>
      </c>
      <c r="C80" t="s">
        <v>130</v>
      </c>
      <c r="D80" t="s">
        <v>130</v>
      </c>
      <c r="E80" t="s">
        <v>130</v>
      </c>
      <c r="F80" t="s">
        <v>131</v>
      </c>
      <c r="G80"/>
      <c r="H80"/>
      <c r="I80"/>
      <c r="J80"/>
      <c r="K80"/>
      <c r="L80"/>
    </row>
    <row r="81" spans="1:12" ht="15" x14ac:dyDescent="0.25">
      <c r="A81" t="s">
        <v>132</v>
      </c>
      <c r="B81" t="s">
        <v>134</v>
      </c>
      <c r="C81" t="s">
        <v>135</v>
      </c>
      <c r="D81" t="s">
        <v>136</v>
      </c>
      <c r="E81" t="s">
        <v>134</v>
      </c>
      <c r="F81" t="s">
        <v>135</v>
      </c>
      <c r="G81" t="s">
        <v>136</v>
      </c>
      <c r="H81"/>
      <c r="I81"/>
      <c r="J81"/>
      <c r="K81"/>
      <c r="L81"/>
    </row>
    <row r="82" spans="1:12" ht="15" x14ac:dyDescent="0.25">
      <c r="A82" t="s">
        <v>13</v>
      </c>
      <c r="B82">
        <v>4.9869181000000004E-3</v>
      </c>
      <c r="C82">
        <v>0</v>
      </c>
      <c r="D82">
        <v>3.5862034100000002E-2</v>
      </c>
      <c r="E82">
        <v>7.5906209999999997E-3</v>
      </c>
      <c r="F82">
        <v>0</v>
      </c>
      <c r="G82">
        <v>6.2200576299999998E-2</v>
      </c>
      <c r="H82"/>
      <c r="I82"/>
      <c r="J82"/>
      <c r="K82"/>
      <c r="L82"/>
    </row>
    <row r="83" spans="1:12" ht="15" x14ac:dyDescent="0.25">
      <c r="A83" t="s">
        <v>137</v>
      </c>
      <c r="B83">
        <v>4.8587307999999997E-3</v>
      </c>
      <c r="C83">
        <v>0</v>
      </c>
      <c r="D83">
        <v>2.6986605E-2</v>
      </c>
      <c r="E83">
        <v>7.8538183000000008E-3</v>
      </c>
      <c r="F83">
        <v>0</v>
      </c>
      <c r="G83">
        <v>5.36971054E-2</v>
      </c>
      <c r="H83"/>
      <c r="I83"/>
      <c r="J83"/>
      <c r="K83"/>
      <c r="L83"/>
    </row>
    <row r="84" spans="1:12" ht="15" x14ac:dyDescent="0.25">
      <c r="A84"/>
      <c r="B84"/>
      <c r="C84"/>
      <c r="D84"/>
      <c r="E84"/>
      <c r="F84"/>
      <c r="G84"/>
      <c r="H84"/>
      <c r="I84"/>
      <c r="J84"/>
      <c r="K84"/>
      <c r="L84"/>
    </row>
    <row r="85" spans="1:12" ht="15" x14ac:dyDescent="0.25">
      <c r="A85" t="s">
        <v>93</v>
      </c>
      <c r="B85"/>
      <c r="C85"/>
      <c r="D85"/>
      <c r="E85"/>
      <c r="F85"/>
      <c r="G85"/>
      <c r="H85"/>
      <c r="I85"/>
      <c r="J85"/>
      <c r="K85"/>
      <c r="L85"/>
    </row>
    <row r="86" spans="1:12" ht="15" x14ac:dyDescent="0.25">
      <c r="A86"/>
      <c r="B86" t="s">
        <v>129</v>
      </c>
      <c r="C86" t="s">
        <v>130</v>
      </c>
      <c r="D86" t="s">
        <v>130</v>
      </c>
      <c r="E86" t="s">
        <v>130</v>
      </c>
      <c r="F86" t="s">
        <v>131</v>
      </c>
      <c r="G86"/>
      <c r="H86"/>
      <c r="I86"/>
      <c r="J86"/>
      <c r="K86"/>
      <c r="L86"/>
    </row>
    <row r="87" spans="1:12" ht="15" x14ac:dyDescent="0.25">
      <c r="A87" t="s">
        <v>132</v>
      </c>
      <c r="B87" t="s">
        <v>134</v>
      </c>
      <c r="C87" t="s">
        <v>135</v>
      </c>
      <c r="D87" t="s">
        <v>136</v>
      </c>
      <c r="E87" t="s">
        <v>134</v>
      </c>
      <c r="F87" t="s">
        <v>135</v>
      </c>
      <c r="G87" t="s">
        <v>136</v>
      </c>
      <c r="H87"/>
      <c r="I87"/>
      <c r="J87"/>
      <c r="K87"/>
      <c r="L87"/>
    </row>
    <row r="88" spans="1:12" ht="15" x14ac:dyDescent="0.25">
      <c r="A88" t="s">
        <v>13</v>
      </c>
      <c r="B88">
        <v>5.1777639999999998E-4</v>
      </c>
      <c r="C88">
        <v>5.1777639999999998E-4</v>
      </c>
      <c r="D88">
        <v>5.1777639999999998E-4</v>
      </c>
      <c r="E88">
        <v>3.854347E-4</v>
      </c>
      <c r="F88">
        <v>3.854347E-4</v>
      </c>
      <c r="G88">
        <v>3.854347E-4</v>
      </c>
      <c r="H88"/>
      <c r="I88"/>
      <c r="J88"/>
      <c r="K88"/>
      <c r="L88"/>
    </row>
    <row r="89" spans="1:12" ht="15" x14ac:dyDescent="0.25">
      <c r="A89" t="s">
        <v>137</v>
      </c>
      <c r="B89">
        <v>3.6935119999999998E-4</v>
      </c>
      <c r="C89">
        <v>3.6935119999999998E-4</v>
      </c>
      <c r="D89">
        <v>3.6935119999999998E-4</v>
      </c>
      <c r="E89">
        <v>9.6031839999999996E-4</v>
      </c>
      <c r="F89">
        <v>9.6031839999999996E-4</v>
      </c>
      <c r="G89">
        <v>9.6031839999999996E-4</v>
      </c>
      <c r="H89"/>
      <c r="I89"/>
      <c r="J89"/>
      <c r="K89"/>
      <c r="L89"/>
    </row>
    <row r="90" spans="1:12" ht="15" x14ac:dyDescent="0.25">
      <c r="A90"/>
      <c r="B90"/>
      <c r="C90"/>
      <c r="D90"/>
      <c r="E90"/>
      <c r="F90"/>
      <c r="G90"/>
      <c r="H90"/>
      <c r="I90"/>
      <c r="J90"/>
      <c r="K90"/>
      <c r="L90"/>
    </row>
    <row r="91" spans="1:12" ht="15" x14ac:dyDescent="0.25">
      <c r="A91" t="s">
        <v>149</v>
      </c>
      <c r="B91" s="60">
        <v>1.1574074074074073E-5</v>
      </c>
      <c r="C91"/>
      <c r="D91"/>
      <c r="E91"/>
      <c r="F91"/>
      <c r="G91"/>
      <c r="H91"/>
      <c r="I91"/>
      <c r="J91"/>
      <c r="K91"/>
      <c r="L91"/>
    </row>
    <row r="92" spans="1:12" ht="15" x14ac:dyDescent="0.25">
      <c r="A92"/>
      <c r="B92"/>
      <c r="C92"/>
      <c r="D92"/>
      <c r="E92"/>
      <c r="F92"/>
      <c r="G92"/>
      <c r="H92"/>
      <c r="I92"/>
      <c r="J92"/>
      <c r="K92"/>
      <c r="L92"/>
    </row>
    <row r="93" spans="1:12" ht="15" x14ac:dyDescent="0.25">
      <c r="A93"/>
      <c r="B93"/>
      <c r="C93"/>
      <c r="D93"/>
      <c r="E93"/>
      <c r="F93"/>
      <c r="G93"/>
      <c r="H93"/>
      <c r="I93"/>
      <c r="J93"/>
      <c r="K93"/>
      <c r="L93"/>
    </row>
    <row r="94" spans="1:12" ht="15" x14ac:dyDescent="0.25">
      <c r="A94"/>
      <c r="B94"/>
      <c r="C94"/>
      <c r="D94"/>
      <c r="E94"/>
      <c r="F94"/>
      <c r="G94"/>
      <c r="H94"/>
      <c r="I94"/>
      <c r="J94"/>
      <c r="K94"/>
      <c r="L94"/>
    </row>
    <row r="95" spans="1:12" ht="15" x14ac:dyDescent="0.25">
      <c r="A95" s="55"/>
      <c r="B95" s="55"/>
      <c r="C95" s="55"/>
      <c r="D95" s="55"/>
      <c r="E95" s="55"/>
      <c r="F95" s="52"/>
      <c r="G95"/>
      <c r="H95"/>
      <c r="I95"/>
      <c r="J95"/>
      <c r="K95"/>
      <c r="L95"/>
    </row>
    <row r="96" spans="1:12" ht="15" x14ac:dyDescent="0.25">
      <c r="A96" s="57" t="s">
        <v>150</v>
      </c>
      <c r="B96" s="57" t="s">
        <v>151</v>
      </c>
      <c r="C96" s="57" t="s">
        <v>32</v>
      </c>
      <c r="D96" s="57" t="s">
        <v>152</v>
      </c>
      <c r="E96" s="57" t="s">
        <v>153</v>
      </c>
      <c r="F96" s="52"/>
      <c r="G96"/>
      <c r="H96"/>
      <c r="I96"/>
      <c r="J96"/>
      <c r="K96"/>
      <c r="L96"/>
    </row>
    <row r="97" spans="1:12" ht="15" x14ac:dyDescent="0.25">
      <c r="A97" s="58" t="s">
        <v>154</v>
      </c>
      <c r="B97" s="58" t="s">
        <v>155</v>
      </c>
      <c r="C97" s="58" t="s">
        <v>156</v>
      </c>
      <c r="D97" s="58">
        <v>4</v>
      </c>
      <c r="E97" s="58">
        <v>16</v>
      </c>
      <c r="F97" s="52"/>
      <c r="G97"/>
      <c r="H97"/>
      <c r="I97"/>
      <c r="J97"/>
      <c r="K97"/>
      <c r="L97"/>
    </row>
    <row r="98" spans="1:12" ht="15" x14ac:dyDescent="0.25">
      <c r="A98" s="58" t="s">
        <v>157</v>
      </c>
      <c r="B98" s="58" t="s">
        <v>158</v>
      </c>
      <c r="C98" s="58" t="s">
        <v>156</v>
      </c>
      <c r="D98" s="58">
        <v>4</v>
      </c>
      <c r="E98" s="58">
        <v>16</v>
      </c>
      <c r="F98" s="52"/>
      <c r="G98"/>
      <c r="H98"/>
      <c r="I98"/>
      <c r="J98"/>
      <c r="K98"/>
      <c r="L98"/>
    </row>
    <row r="99" spans="1:12" ht="15" x14ac:dyDescent="0.25">
      <c r="A99" s="58" t="s">
        <v>159</v>
      </c>
      <c r="B99" s="58" t="s">
        <v>160</v>
      </c>
      <c r="C99" s="58" t="s">
        <v>156</v>
      </c>
      <c r="D99" s="58">
        <v>4</v>
      </c>
      <c r="E99" s="58">
        <v>16</v>
      </c>
      <c r="F99" s="169"/>
      <c r="G99"/>
      <c r="H99"/>
      <c r="I99"/>
      <c r="J99"/>
      <c r="K99"/>
      <c r="L99"/>
    </row>
    <row r="100" spans="1:12" ht="15" x14ac:dyDescent="0.25">
      <c r="A100" s="170"/>
      <c r="B100" s="56"/>
      <c r="C100" s="56"/>
      <c r="D100" s="56"/>
      <c r="E100" s="56"/>
      <c r="F100" s="52"/>
      <c r="G100"/>
      <c r="H100"/>
      <c r="I100"/>
      <c r="J100"/>
      <c r="K100"/>
      <c r="L100"/>
    </row>
    <row r="101" spans="1:12" ht="15" x14ac:dyDescent="0.25">
      <c r="A101" s="54" t="s">
        <v>161</v>
      </c>
      <c r="B101" s="52"/>
      <c r="C101" s="52"/>
      <c r="D101" s="52"/>
      <c r="E101" s="52"/>
      <c r="F101" s="52"/>
      <c r="G101"/>
      <c r="H101"/>
      <c r="I101"/>
      <c r="J101"/>
      <c r="K101"/>
      <c r="L101"/>
    </row>
    <row r="102" spans="1:12" ht="15" x14ac:dyDescent="0.25">
      <c r="A102" s="61" t="s">
        <v>162</v>
      </c>
      <c r="B102" s="52"/>
      <c r="C102" s="52"/>
      <c r="D102" s="52"/>
      <c r="E102" s="52"/>
      <c r="F102" s="52"/>
      <c r="G102"/>
      <c r="H102"/>
      <c r="I102"/>
      <c r="J102"/>
      <c r="K102"/>
      <c r="L102"/>
    </row>
    <row r="103" spans="1:12" ht="15" x14ac:dyDescent="0.25">
      <c r="A103"/>
      <c r="B103"/>
      <c r="C103"/>
      <c r="D103"/>
      <c r="E103"/>
      <c r="F103"/>
      <c r="G103"/>
      <c r="H103"/>
      <c r="I103"/>
      <c r="J103"/>
      <c r="K103"/>
      <c r="L103"/>
    </row>
    <row r="104" spans="1:12" ht="15" x14ac:dyDescent="0.25">
      <c r="A104"/>
      <c r="B104"/>
      <c r="C104"/>
      <c r="D104"/>
      <c r="E104"/>
      <c r="F104"/>
      <c r="G104"/>
      <c r="H104"/>
      <c r="I104"/>
      <c r="J104"/>
      <c r="K104"/>
      <c r="L104"/>
    </row>
    <row r="105" spans="1:12" ht="15" x14ac:dyDescent="0.25">
      <c r="A105"/>
      <c r="B105"/>
      <c r="C105"/>
      <c r="D105"/>
      <c r="E105"/>
      <c r="F105"/>
      <c r="G105"/>
      <c r="H105"/>
      <c r="I105"/>
      <c r="J105"/>
      <c r="K105"/>
      <c r="L105"/>
    </row>
    <row r="106" spans="1:12" ht="15" x14ac:dyDescent="0.25">
      <c r="A106"/>
      <c r="B106"/>
      <c r="C106"/>
      <c r="D106"/>
      <c r="E106"/>
      <c r="F106"/>
      <c r="G106"/>
      <c r="H106"/>
      <c r="I106"/>
      <c r="J106"/>
      <c r="K106"/>
      <c r="L106"/>
    </row>
    <row r="107" spans="1:12" ht="15" x14ac:dyDescent="0.25">
      <c r="A107"/>
      <c r="B107"/>
      <c r="C107"/>
      <c r="D107"/>
      <c r="E107"/>
      <c r="F107"/>
      <c r="G107"/>
      <c r="H107"/>
      <c r="I107"/>
      <c r="J107"/>
      <c r="K107"/>
      <c r="L107"/>
    </row>
    <row r="108" spans="1:12" ht="15" x14ac:dyDescent="0.25">
      <c r="A108"/>
      <c r="B108"/>
      <c r="C108"/>
      <c r="D108"/>
      <c r="E108"/>
      <c r="F108"/>
      <c r="G108"/>
      <c r="H108"/>
      <c r="I108"/>
      <c r="J108"/>
      <c r="K108"/>
      <c r="L108"/>
    </row>
    <row r="109" spans="1:12" ht="15" x14ac:dyDescent="0.25">
      <c r="A109" s="55"/>
      <c r="B109" s="55"/>
      <c r="C109" s="55"/>
      <c r="D109" s="55"/>
      <c r="E109" s="55"/>
      <c r="F109" s="52"/>
      <c r="G109"/>
      <c r="H109"/>
      <c r="I109"/>
      <c r="J109"/>
      <c r="K109"/>
      <c r="L109"/>
    </row>
    <row r="110" spans="1:12" ht="15" x14ac:dyDescent="0.25">
      <c r="A110" s="57" t="s">
        <v>150</v>
      </c>
      <c r="B110" s="57" t="s">
        <v>151</v>
      </c>
      <c r="C110" s="57" t="s">
        <v>32</v>
      </c>
      <c r="D110" s="57" t="s">
        <v>152</v>
      </c>
      <c r="E110" s="57" t="s">
        <v>153</v>
      </c>
      <c r="F110" s="52"/>
      <c r="G110"/>
      <c r="H110"/>
      <c r="I110"/>
      <c r="J110"/>
      <c r="K110"/>
      <c r="L110"/>
    </row>
    <row r="111" spans="1:12" ht="15" x14ac:dyDescent="0.25">
      <c r="A111" s="58" t="s">
        <v>163</v>
      </c>
      <c r="B111" s="58" t="s">
        <v>164</v>
      </c>
      <c r="C111" s="58" t="s">
        <v>156</v>
      </c>
      <c r="D111" s="58">
        <v>4</v>
      </c>
      <c r="E111" s="58">
        <v>64</v>
      </c>
      <c r="F111" s="52"/>
      <c r="G111"/>
      <c r="H111"/>
      <c r="I111"/>
      <c r="J111"/>
      <c r="K111"/>
      <c r="L111"/>
    </row>
    <row r="112" spans="1:12" ht="15" x14ac:dyDescent="0.25">
      <c r="A112" s="58" t="s">
        <v>165</v>
      </c>
      <c r="B112" s="58" t="s">
        <v>166</v>
      </c>
      <c r="C112" s="58" t="s">
        <v>156</v>
      </c>
      <c r="D112" s="58">
        <v>4</v>
      </c>
      <c r="E112" s="58">
        <v>64</v>
      </c>
      <c r="F112" s="52"/>
      <c r="G112"/>
      <c r="H112"/>
      <c r="I112"/>
      <c r="J112"/>
      <c r="K112"/>
      <c r="L112"/>
    </row>
    <row r="113" spans="1:12" ht="15" x14ac:dyDescent="0.25">
      <c r="A113" s="168"/>
      <c r="B113" s="56"/>
      <c r="C113" s="56"/>
      <c r="D113" s="56"/>
      <c r="E113" s="56"/>
      <c r="F113" s="52"/>
      <c r="G113"/>
      <c r="H113"/>
      <c r="I113"/>
      <c r="J113"/>
      <c r="K113"/>
      <c r="L113"/>
    </row>
    <row r="114" spans="1:12" ht="15" x14ac:dyDescent="0.25">
      <c r="A114" s="54" t="s">
        <v>167</v>
      </c>
      <c r="B114" s="52"/>
      <c r="C114" s="52"/>
      <c r="D114" s="52"/>
      <c r="E114" s="52"/>
      <c r="F114" s="52"/>
      <c r="G114"/>
      <c r="H114"/>
      <c r="I114"/>
      <c r="J114"/>
      <c r="K114"/>
      <c r="L114"/>
    </row>
    <row r="115" spans="1:12" ht="15" x14ac:dyDescent="0.25">
      <c r="A115" s="61" t="s">
        <v>162</v>
      </c>
      <c r="B115" s="52"/>
      <c r="C115" s="52"/>
      <c r="D115" s="52"/>
      <c r="E115" s="52"/>
      <c r="F115" s="52"/>
      <c r="G115"/>
      <c r="H115"/>
      <c r="I115"/>
      <c r="J115"/>
      <c r="K115"/>
      <c r="L115"/>
    </row>
    <row r="116" spans="1:12" ht="15" x14ac:dyDescent="0.25">
      <c r="A116"/>
      <c r="B116"/>
      <c r="C116"/>
      <c r="D116"/>
      <c r="E116"/>
      <c r="F116"/>
      <c r="G116"/>
      <c r="H116"/>
      <c r="I116"/>
      <c r="J116"/>
      <c r="K116"/>
      <c r="L116"/>
    </row>
    <row r="117" spans="1:12" ht="15" x14ac:dyDescent="0.25">
      <c r="A117"/>
      <c r="B117"/>
      <c r="C117"/>
      <c r="D117"/>
      <c r="E117"/>
      <c r="F117"/>
      <c r="G117"/>
      <c r="H117"/>
      <c r="I117"/>
      <c r="J117"/>
      <c r="K117"/>
      <c r="L117"/>
    </row>
    <row r="118" spans="1:12" ht="15" x14ac:dyDescent="0.25">
      <c r="A118"/>
      <c r="B118"/>
      <c r="C118"/>
      <c r="D118"/>
      <c r="E118"/>
      <c r="F118"/>
      <c r="G118"/>
      <c r="H118"/>
      <c r="I118"/>
      <c r="J118"/>
      <c r="K118"/>
      <c r="L118"/>
    </row>
    <row r="119" spans="1:12" ht="15" x14ac:dyDescent="0.25">
      <c r="A119" s="54"/>
      <c r="B119" s="52"/>
      <c r="C119" s="52"/>
      <c r="D119" s="52"/>
      <c r="E119" s="52"/>
      <c r="F119" s="52"/>
      <c r="G119"/>
      <c r="H119"/>
      <c r="I119"/>
      <c r="J119"/>
      <c r="K119"/>
      <c r="L119"/>
    </row>
    <row r="120" spans="1:12" ht="15" x14ac:dyDescent="0.25">
      <c r="A120" s="55"/>
      <c r="B120" s="55"/>
      <c r="C120" s="55"/>
      <c r="D120" s="55"/>
      <c r="E120" s="55"/>
      <c r="F120" s="52"/>
      <c r="G120"/>
      <c r="H120"/>
      <c r="I120"/>
      <c r="J120"/>
      <c r="K120"/>
      <c r="L120"/>
    </row>
    <row r="121" spans="1:12" ht="15" x14ac:dyDescent="0.25">
      <c r="A121" s="57" t="s">
        <v>150</v>
      </c>
      <c r="B121" s="57" t="s">
        <v>151</v>
      </c>
      <c r="C121" s="57" t="s">
        <v>32</v>
      </c>
      <c r="D121" s="57" t="s">
        <v>152</v>
      </c>
      <c r="E121" s="57" t="s">
        <v>153</v>
      </c>
      <c r="F121" s="52"/>
      <c r="G121" s="52"/>
      <c r="H121" s="52"/>
      <c r="I121" s="52"/>
      <c r="J121" s="52"/>
      <c r="K121" s="52"/>
      <c r="L121" s="168"/>
    </row>
    <row r="122" spans="1:12" ht="15" x14ac:dyDescent="0.25">
      <c r="A122" s="58" t="s">
        <v>168</v>
      </c>
      <c r="B122" s="58" t="s">
        <v>164</v>
      </c>
      <c r="C122" s="58" t="s">
        <v>156</v>
      </c>
      <c r="D122" s="58">
        <v>4</v>
      </c>
      <c r="E122" s="58">
        <v>64</v>
      </c>
      <c r="F122" s="52"/>
      <c r="G122" s="52"/>
      <c r="H122" s="52"/>
      <c r="I122" s="52"/>
      <c r="J122" s="52"/>
      <c r="K122" s="52"/>
      <c r="L122" s="168"/>
    </row>
    <row r="123" spans="1:12" ht="15" x14ac:dyDescent="0.25">
      <c r="A123" s="58" t="s">
        <v>169</v>
      </c>
      <c r="B123" s="58" t="s">
        <v>170</v>
      </c>
      <c r="C123" s="58" t="s">
        <v>156</v>
      </c>
      <c r="D123" s="58">
        <v>4</v>
      </c>
      <c r="E123" s="58">
        <v>64</v>
      </c>
      <c r="F123" s="52"/>
      <c r="G123" s="52"/>
      <c r="H123" s="52"/>
      <c r="I123" s="52"/>
      <c r="J123" s="52"/>
      <c r="K123" s="52"/>
      <c r="L123" s="168"/>
    </row>
    <row r="124" spans="1:12" ht="15" x14ac:dyDescent="0.25">
      <c r="A124" s="58" t="s">
        <v>171</v>
      </c>
      <c r="B124" s="58" t="s">
        <v>155</v>
      </c>
      <c r="C124" s="58" t="s">
        <v>156</v>
      </c>
      <c r="D124" s="58">
        <v>4</v>
      </c>
      <c r="E124" s="58">
        <v>64</v>
      </c>
      <c r="F124" s="52"/>
      <c r="G124" s="52"/>
      <c r="H124" s="52"/>
      <c r="I124" s="52"/>
      <c r="J124" s="52"/>
      <c r="K124" s="52"/>
      <c r="L124" s="168"/>
    </row>
    <row r="125" spans="1:12" ht="15" x14ac:dyDescent="0.25">
      <c r="A125" s="58" t="s">
        <v>172</v>
      </c>
      <c r="B125" s="58" t="s">
        <v>173</v>
      </c>
      <c r="C125" s="58" t="s">
        <v>156</v>
      </c>
      <c r="D125" s="58">
        <v>4</v>
      </c>
      <c r="E125" s="58">
        <v>64</v>
      </c>
      <c r="F125" s="52"/>
      <c r="G125" s="52"/>
      <c r="H125" s="52"/>
      <c r="I125" s="52"/>
      <c r="J125" s="52"/>
      <c r="K125" s="52"/>
      <c r="L125" s="168"/>
    </row>
    <row r="126" spans="1:12" ht="15" x14ac:dyDescent="0.25">
      <c r="A126" s="168"/>
      <c r="B126" s="56"/>
      <c r="C126" s="56"/>
      <c r="D126" s="56"/>
      <c r="E126" s="56"/>
      <c r="F126" s="52"/>
      <c r="G126" s="52"/>
      <c r="H126" s="52"/>
      <c r="I126" s="52"/>
      <c r="J126" s="52"/>
      <c r="K126" s="52"/>
      <c r="L126" s="168"/>
    </row>
    <row r="127" spans="1:12" ht="15" x14ac:dyDescent="0.25">
      <c r="A127" s="54" t="s">
        <v>174</v>
      </c>
      <c r="B127" s="52"/>
      <c r="C127" s="52"/>
      <c r="D127" s="52"/>
      <c r="E127" s="52"/>
      <c r="F127" s="52"/>
      <c r="G127" s="52"/>
      <c r="H127" s="52"/>
      <c r="I127" s="52"/>
      <c r="J127" s="52"/>
      <c r="K127" s="52"/>
      <c r="L127" s="168"/>
    </row>
    <row r="128" spans="1:12" ht="15" x14ac:dyDescent="0.25">
      <c r="A128" s="61" t="s">
        <v>162</v>
      </c>
      <c r="B128" s="52"/>
      <c r="C128" s="52"/>
      <c r="D128" s="52"/>
      <c r="E128" s="52"/>
      <c r="F128" s="52"/>
      <c r="G128" s="52"/>
      <c r="H128" s="52"/>
      <c r="I128" s="52"/>
      <c r="J128" s="52"/>
      <c r="K128" s="52"/>
      <c r="L128" s="168"/>
    </row>
    <row r="129" spans="1:11" ht="15" x14ac:dyDescent="0.25">
      <c r="A129" s="52"/>
      <c r="B129" s="52"/>
      <c r="C129" s="52"/>
      <c r="D129" s="52"/>
      <c r="E129" s="52"/>
      <c r="F129" s="52"/>
      <c r="G129" s="52"/>
      <c r="H129" s="52"/>
      <c r="I129" s="52"/>
      <c r="J129" s="52"/>
      <c r="K129" s="52"/>
    </row>
    <row r="130" spans="1:11" ht="15" x14ac:dyDescent="0.25">
      <c r="A130" s="168"/>
      <c r="B130" s="168"/>
      <c r="C130" s="168"/>
      <c r="D130" s="168"/>
      <c r="E130" s="168"/>
      <c r="F130" s="168"/>
      <c r="G130" s="52"/>
      <c r="H130" s="52"/>
      <c r="I130" s="52"/>
      <c r="J130" s="52"/>
      <c r="K130" s="52"/>
    </row>
    <row r="131" spans="1:11" ht="15" x14ac:dyDescent="0.25">
      <c r="A131" s="168"/>
      <c r="B131" s="168"/>
      <c r="C131" s="168"/>
      <c r="D131" s="168"/>
      <c r="E131" s="168"/>
      <c r="F131" s="168"/>
      <c r="G131" s="52"/>
      <c r="H131" s="52"/>
      <c r="I131" s="52"/>
      <c r="J131" s="52"/>
      <c r="K131" s="52"/>
    </row>
  </sheetData>
  <sheetProtection sheet="1" objects="1" scenarios="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8"/>
  <sheetViews>
    <sheetView zoomScale="115" zoomScaleNormal="115" workbookViewId="0">
      <selection activeCell="C7" sqref="C7"/>
    </sheetView>
  </sheetViews>
  <sheetFormatPr defaultColWidth="9.140625" defaultRowHeight="12.75" x14ac:dyDescent="0.25"/>
  <cols>
    <col min="1" max="1" width="36.85546875" style="163" customWidth="1"/>
    <col min="2" max="2" width="137.28515625" style="163" customWidth="1"/>
    <col min="3" max="16384" width="9.140625" style="163"/>
  </cols>
  <sheetData>
    <row r="1" spans="1:2" x14ac:dyDescent="0.25">
      <c r="A1" s="162" t="s">
        <v>115</v>
      </c>
      <c r="B1" s="162" t="s">
        <v>116</v>
      </c>
    </row>
    <row r="2" spans="1:2" ht="153" x14ac:dyDescent="0.25">
      <c r="A2" s="148" t="s">
        <v>117</v>
      </c>
      <c r="B2" s="160" t="s">
        <v>186</v>
      </c>
    </row>
    <row r="3" spans="1:2" ht="25.5" x14ac:dyDescent="0.25">
      <c r="A3" s="148" t="s">
        <v>118</v>
      </c>
      <c r="B3" s="160" t="s">
        <v>175</v>
      </c>
    </row>
    <row r="4" spans="1:2" ht="89.25" x14ac:dyDescent="0.25">
      <c r="A4" s="148" t="s">
        <v>120</v>
      </c>
      <c r="B4" s="160" t="s">
        <v>176</v>
      </c>
    </row>
    <row r="5" spans="1:2" ht="63.75" x14ac:dyDescent="0.25">
      <c r="A5" s="148" t="s">
        <v>41</v>
      </c>
      <c r="B5" s="160" t="s">
        <v>177</v>
      </c>
    </row>
    <row r="6" spans="1:2" ht="38.25" x14ac:dyDescent="0.25">
      <c r="A6" s="148" t="s">
        <v>124</v>
      </c>
      <c r="B6" s="160" t="s">
        <v>125</v>
      </c>
    </row>
    <row r="7" spans="1:2" ht="76.5" x14ac:dyDescent="0.25">
      <c r="A7" s="148" t="s">
        <v>178</v>
      </c>
      <c r="B7" s="160" t="s">
        <v>179</v>
      </c>
    </row>
    <row r="8" spans="1:2" ht="63.75" x14ac:dyDescent="0.25">
      <c r="A8" s="149" t="s">
        <v>128</v>
      </c>
      <c r="B8" s="161" t="s">
        <v>182</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B44F1A14F116D47A1A5146B7371AC6B" ma:contentTypeVersion="2" ma:contentTypeDescription="Create a new document." ma:contentTypeScope="" ma:versionID="6fb3a4bc4420f665ed5df097ed982076">
  <xsd:schema xmlns:xsd="http://www.w3.org/2001/XMLSchema" xmlns:xs="http://www.w3.org/2001/XMLSchema" xmlns:p="http://schemas.microsoft.com/office/2006/metadata/properties" xmlns:ns2="c6cf6f63-9901-4474-b80d-6ba11d839829" targetNamespace="http://schemas.microsoft.com/office/2006/metadata/properties" ma:root="true" ma:fieldsID="3942f08911748fb80fc346ca72f361dd" ns2:_="">
    <xsd:import namespace="c6cf6f63-9901-4474-b80d-6ba11d83982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cf6f63-9901-4474-b80d-6ba11d8398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B4F445-920A-4446-A435-8F97DB761AE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6948487-9829-44A7-A3D8-499501EEDB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cf6f63-9901-4474-b80d-6ba11d8398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ED488D-0F59-4A57-8256-2AE4A6F8BD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Document Front Page</vt:lpstr>
      <vt:lpstr>Quick Sizing</vt:lpstr>
      <vt:lpstr>Advanced Sizing</vt:lpstr>
      <vt:lpstr>Quick Sizing notes</vt:lpstr>
      <vt:lpstr>Data</vt:lpstr>
      <vt:lpstr>Advanced Sizing notes</vt:lpstr>
      <vt:lpstr>AggSAMsRequired</vt:lpstr>
      <vt:lpstr>CombinedCPU_SNMP_Poll</vt:lpstr>
      <vt:lpstr>CombinedSingleThreadedDiscoveryCPU</vt:lpstr>
      <vt:lpstr>DiscoveryBytes</vt:lpstr>
      <vt:lpstr>DiscoveryMultiThreadedCPU</vt:lpstr>
      <vt:lpstr>DiscoverySingleThreadedCPU</vt:lpstr>
      <vt:lpstr>FractionalAggSAMs</vt:lpstr>
      <vt:lpstr>IPNetworks</vt:lpstr>
      <vt:lpstr>IPServers</vt:lpstr>
      <vt:lpstr>MaxReconnectTimeInSeconds</vt:lpstr>
      <vt:lpstr>Memory</vt:lpstr>
      <vt:lpstr>NewMatrix</vt:lpstr>
      <vt:lpstr>OfflineNewMatrix</vt:lpstr>
      <vt:lpstr>OIServers</vt:lpstr>
      <vt:lpstr>OS</vt:lpstr>
      <vt:lpstr>PollingBytes</vt:lpstr>
      <vt:lpstr>PollingMultithreadedCPU</vt:lpstr>
      <vt:lpstr>PollingSingleThreadedCPU</vt:lpstr>
      <vt:lpstr>PostProcessing</vt:lpstr>
      <vt:lpstr>PresentationSAMsRequired</vt:lpstr>
      <vt:lpstr>Reconfigure</vt:lpstr>
      <vt:lpstr>ReconnectCPUPerIPServer</vt:lpstr>
      <vt:lpstr>RetainedNotifications</vt:lpstr>
      <vt:lpstr>SecOne</vt:lpstr>
      <vt:lpstr>TopoSync</vt:lpstr>
    </vt:vector>
  </TitlesOfParts>
  <Manager/>
  <Company>EMC Corporation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gbrodsky</dc:creator>
  <cp:keywords/>
  <dc:description/>
  <cp:lastModifiedBy>Samarth Sortur</cp:lastModifiedBy>
  <cp:revision/>
  <dcterms:created xsi:type="dcterms:W3CDTF">2012-12-07T21:04:37Z</dcterms:created>
  <dcterms:modified xsi:type="dcterms:W3CDTF">2024-09-03T06:27:24Z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0x0101004B44F1A14F116D47A1A5146B7371AC6B</vt:lpwstr>
  </property>
</Properties>
</file>