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defaultThemeVersion="124226"/>
  <mc:AlternateContent xmlns:mc="http://schemas.openxmlformats.org/markup-compatibility/2006">
    <mc:Choice Requires="x15">
      <x15ac:absPath xmlns:x15ac="http://schemas.microsoft.com/office/spreadsheetml/2010/11/ac" url="C:\Users\sorturs\Box\VMware\TCSA-2.4\Sizing-sheet\"/>
    </mc:Choice>
  </mc:AlternateContent>
  <xr:revisionPtr revIDLastSave="0" documentId="13_ncr:1_{F9FA5B3B-ED3F-427A-B06E-F7E55F5BD266}" xr6:coauthVersionLast="47" xr6:coauthVersionMax="47" xr10:uidLastSave="{00000000-0000-0000-0000-000000000000}"/>
  <bookViews>
    <workbookView xWindow="-120" yWindow="-120" windowWidth="51840" windowHeight="21120" tabRatio="906" xr2:uid="{00000000-000D-0000-FFFF-FFFF00000000}"/>
  </bookViews>
  <sheets>
    <sheet name="Document Front Page" sheetId="20" r:id="rId1"/>
    <sheet name="Instructions" sheetId="9" r:id="rId2"/>
    <sheet name="Quick Sizing" sheetId="8" r:id="rId3"/>
    <sheet name="Advanced Sizing" sheetId="1" r:id="rId4"/>
    <sheet name="Data" sheetId="2" state="hidden" r:id="rId5"/>
    <sheet name="Notes" sheetId="6" r:id="rId6"/>
    <sheet name="Comparison-941Vs942" sheetId="17" state="hidden" r:id="rId7"/>
    <sheet name="RawDataCollection-9.4.2" sheetId="16" state="hidden" r:id="rId8"/>
    <sheet name="Temp-scratch942" sheetId="19" state="hidden" r:id="rId9"/>
  </sheets>
  <definedNames>
    <definedName name="ActiveNotificationsPerManagedPortOrInterface">Data!$C$39</definedName>
    <definedName name="AggregateNotificationCPUTime" localSheetId="2">'Quick Sizing'!$E$47</definedName>
    <definedName name="AggregateNotificationLatency">'Quick Sizing'!$E$48</definedName>
    <definedName name="AggregateSAMsForNotificationCPU">'Quick Sizing'!$E$50</definedName>
    <definedName name="AggregateSAMsForToposyncCPu">'Quick Sizing'!$E$49</definedName>
    <definedName name="AggregateTopoSyncCPUTime">'Quick Sizing'!$E$45</definedName>
    <definedName name="AggregateToposyncLatency">'Quick Sizing'!$E$46</definedName>
    <definedName name="AggregateTrapCPU">'Quick Sizing'!$E$60</definedName>
    <definedName name="AggSAMsForToposyncAndNotifications">'Quick Sizing'!$E$58</definedName>
    <definedName name="AggSAMsForTraps">'Quick Sizing'!$E$62</definedName>
    <definedName name="AggSAMsRequired">'Quick Sizing'!$E$64</definedName>
    <definedName name="AttributesPerIPNotification">Data!$C$41</definedName>
    <definedName name="ConsoleCPUPerDownEvent">'Quick Sizing'!$E$66</definedName>
    <definedName name="ConsolesNotificationCPU">'Quick Sizing'!$E$67</definedName>
    <definedName name="CPUPerDownEvent">Data!$B$8:$G$9</definedName>
    <definedName name="CpuPerDownTrap">Data!$B$20:$G$21</definedName>
    <definedName name="CPUSpeedRatio" localSheetId="2">'Quick Sizing'!$E$44</definedName>
    <definedName name="CPUUtilizationFor1SourceOrDestination">Data!$B$12:$G$13</definedName>
    <definedName name="EnteredOutstandingNotifications">'Quick Sizing'!$E$21</definedName>
    <definedName name="ExpectedOutstandingNotifications">'Quick Sizing'!$E$43</definedName>
    <definedName name="ExtraCPUPerDownEventFor1SourceOrDestination">Data!$B$10:$G$11</definedName>
    <definedName name="FractionalAggSAMs">'Quick Sizing'!$E$63</definedName>
    <definedName name="FractionalPresentationSAMsNeeded">'Quick Sizing'!$E$69</definedName>
    <definedName name="Growth">'Quick Sizing'!$E$41</definedName>
    <definedName name="GrowthPerYear">'Quick Sizing'!$E$19</definedName>
    <definedName name="IPNetworks">'Quick Sizing'!$E$39</definedName>
    <definedName name="IPServers">'Quick Sizing'!$E$15</definedName>
    <definedName name="LatencyToIPs">'Quick Sizing'!$E$14</definedName>
    <definedName name="ManagedPortsAndInterfacesPerIPNetwork">Data!$C$42</definedName>
    <definedName name="MangedPortsAndInterfacesPerIPNetwork">Data!$C$42</definedName>
    <definedName name="MaxConsolesPerSAM">Data!$C$44</definedName>
    <definedName name="MaxCoresPerPresSAM">Data!$C$44</definedName>
    <definedName name="MaxCoresPerSAM">Data!$C$43</definedName>
    <definedName name="MaxCPUUtilizationFor1OI">Data!$B$27:$C$28</definedName>
    <definedName name="MaxCpuUtilizationFor1OIWithoutBIM">Data!#REF!</definedName>
    <definedName name="MaxCPUUtilizationForDownTraps">Data!$B$29:$C$30</definedName>
    <definedName name="MaxCPUUtilizationForToposyncs">Data!$B$31:$C$32</definedName>
    <definedName name="MaxCPUUtilizationForTraps">'Quick Sizing'!$E$61</definedName>
    <definedName name="MaxCPUUtilizationForTrapsFromOI">Data!$B$29:$C$30</definedName>
    <definedName name="MaxCPUUtilizationPerOIServer">Data!$B$33:$C$34</definedName>
    <definedName name="MaxDownEventCPUUtilizationForSourceOrDestination">Data!$B$16:$G$17</definedName>
    <definedName name="MaxReconnectTime" localSheetId="2">'Quick Sizing'!$E$20</definedName>
    <definedName name="MaxReconnectTimeInSeconds">'Quick Sizing'!$E$42</definedName>
    <definedName name="Memory">Data!$B$2:$G$3</definedName>
    <definedName name="NotificationCPUPerIPServer">'Quick Sizing'!$E$52</definedName>
    <definedName name="NotificationLatencyPerIPServer">'Quick Sizing'!$E$55</definedName>
    <definedName name="NSourceOrDestinationAtMaxDownEventUtilization">Data!$B$18:$G$19</definedName>
    <definedName name="NumberOfConsoles">'Quick Sizing'!$E$17</definedName>
    <definedName name="OIServers">'Quick Sizing'!$E$16</definedName>
    <definedName name="OneSecond">Data!$C$45</definedName>
    <definedName name="OS" localSheetId="2">'Quick Sizing'!$E$24</definedName>
    <definedName name="OS_List" localSheetId="4">Data!$A$1:$E$45</definedName>
    <definedName name="OSLIST">Data!$B$2:$B$3</definedName>
    <definedName name="PresentationSAMsRequired">'Quick Sizing'!$E$70</definedName>
    <definedName name="PresentationSAMTrapCPU">'Quick Sizing'!#REF!</definedName>
    <definedName name="ReconnectCPUPerIPServer">'Quick Sizing'!$E$53</definedName>
    <definedName name="ReconnectLatencyPerIPServer">'Quick Sizing'!$E$56</definedName>
    <definedName name="ReconnectTimePerIPServer">'Quick Sizing'!$E$57</definedName>
    <definedName name="Regression_57.extract" localSheetId="4">Data!$A$1:$E$45</definedName>
    <definedName name="RetainedNotifications">'Quick Sizing'!$E$23</definedName>
    <definedName name="SpecIntCPUSpeed">'Quick Sizing'!$E$11</definedName>
    <definedName name="SpecIntSpeed">Data!$B$35:$C$36</definedName>
    <definedName name="SpecIntThroughput">Data!$B$37:$C$38</definedName>
    <definedName name="ToposyncCompressionPercent">Data!$B$23:$C$24</definedName>
    <definedName name="ToposyncCPU">Data!$B$4:$F$5</definedName>
    <definedName name="ToposyncCPUPerIPServer">'Quick Sizing'!$E$51</definedName>
    <definedName name="ToposyncLatencyPerIPServer">'Quick Sizing'!$E$54</definedName>
    <definedName name="TotalConsolesCPU" localSheetId="2">'Quick Sizing'!$E$68</definedName>
    <definedName name="TotalManagedPandI">'Quick Sizing'!$E$38</definedName>
    <definedName name="TotalUCSs">'Quick Sizing'!$E$32</definedName>
    <definedName name="TrapRate" localSheetId="2">'Quick Sizing'!$E$22</definedName>
    <definedName name="YearsToGrow">'Quick Sizing'!$E$18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5" i="8" l="1"/>
  <c r="E54" i="8"/>
  <c r="E52" i="8"/>
  <c r="E51" i="8"/>
  <c r="B75" i="8" l="1"/>
  <c r="D75" i="8" l="1"/>
  <c r="C75" i="8"/>
  <c r="F75" i="8" s="1"/>
  <c r="E42" i="8"/>
  <c r="E41" i="8"/>
  <c r="E28" i="8" s="1"/>
  <c r="E44" i="8"/>
  <c r="E66" i="8" s="1"/>
  <c r="AH72" i="16"/>
  <c r="AI72" i="16"/>
  <c r="F94" i="19"/>
  <c r="G15" i="17"/>
  <c r="G16" i="17"/>
  <c r="G17" i="17"/>
  <c r="G18" i="17"/>
  <c r="G19" i="17"/>
  <c r="G20" i="17"/>
  <c r="G21" i="17"/>
  <c r="G22" i="17"/>
  <c r="G23" i="17"/>
  <c r="G8" i="17"/>
  <c r="G9" i="17"/>
  <c r="G10" i="17"/>
  <c r="G11" i="17"/>
  <c r="G12" i="17"/>
  <c r="G13" i="17"/>
  <c r="G14" i="17"/>
  <c r="G7" i="17"/>
  <c r="G36" i="16"/>
  <c r="H36" i="16"/>
  <c r="J36" i="16"/>
  <c r="K36" i="16"/>
  <c r="L36" i="16"/>
  <c r="M36" i="16"/>
  <c r="N36" i="16"/>
  <c r="O36" i="16"/>
  <c r="P36" i="16"/>
  <c r="Q36" i="16"/>
  <c r="R36" i="16"/>
  <c r="I36" i="16"/>
  <c r="C2" i="2"/>
  <c r="D33" i="1" s="1"/>
  <c r="C3" i="2"/>
  <c r="F104" i="19"/>
  <c r="F103" i="19"/>
  <c r="F102" i="19"/>
  <c r="F85" i="19"/>
  <c r="F80" i="19"/>
  <c r="F79" i="19"/>
  <c r="F81" i="19"/>
  <c r="F76" i="19"/>
  <c r="F78" i="19"/>
  <c r="F77" i="19"/>
  <c r="F71" i="19"/>
  <c r="F70" i="19"/>
  <c r="F69" i="19"/>
  <c r="G64" i="19"/>
  <c r="G63" i="19"/>
  <c r="G62" i="19"/>
  <c r="G61" i="19"/>
  <c r="G60" i="19"/>
  <c r="F52" i="19"/>
  <c r="F51" i="19"/>
  <c r="F50" i="19"/>
  <c r="F49" i="19"/>
  <c r="F48" i="19"/>
  <c r="E41" i="19"/>
  <c r="F35" i="19"/>
  <c r="E32" i="19"/>
  <c r="E31" i="19"/>
  <c r="E30" i="19"/>
  <c r="E29" i="19"/>
  <c r="E28" i="19"/>
  <c r="G29" i="19" s="1"/>
  <c r="E27" i="19"/>
  <c r="F21" i="19"/>
  <c r="F20" i="19"/>
  <c r="F19" i="19"/>
  <c r="F18" i="19"/>
  <c r="F17" i="19"/>
  <c r="F16" i="19"/>
  <c r="F22" i="19" s="1"/>
  <c r="F15" i="19"/>
  <c r="G7" i="19"/>
  <c r="G6" i="19"/>
  <c r="G5" i="19"/>
  <c r="G4" i="19"/>
  <c r="G9" i="19" s="1"/>
  <c r="Z75" i="16"/>
  <c r="Z74" i="16"/>
  <c r="Z72" i="16"/>
  <c r="Z71" i="16"/>
  <c r="Z69" i="16"/>
  <c r="Z68" i="16"/>
  <c r="Z66" i="16"/>
  <c r="Z65" i="16"/>
  <c r="Z63" i="16"/>
  <c r="Z60" i="16"/>
  <c r="Z59" i="16"/>
  <c r="Z58" i="16"/>
  <c r="Z57" i="16"/>
  <c r="Z56" i="16"/>
  <c r="Z55" i="16"/>
  <c r="Z54" i="16"/>
  <c r="Z53" i="16"/>
  <c r="BD75" i="16"/>
  <c r="BC75" i="16"/>
  <c r="BB75" i="16"/>
  <c r="BA75" i="16"/>
  <c r="AZ75" i="16"/>
  <c r="AY75" i="16"/>
  <c r="AX75" i="16"/>
  <c r="AW75" i="16"/>
  <c r="AV75" i="16"/>
  <c r="AU75" i="16"/>
  <c r="AT75" i="16"/>
  <c r="AS75" i="16"/>
  <c r="AR75" i="16"/>
  <c r="AQ75" i="16"/>
  <c r="AP75" i="16"/>
  <c r="BD74" i="16"/>
  <c r="BC74" i="16"/>
  <c r="BB74" i="16"/>
  <c r="BA74" i="16"/>
  <c r="AZ74" i="16"/>
  <c r="AY74" i="16"/>
  <c r="AX74" i="16"/>
  <c r="AW74" i="16"/>
  <c r="AV74" i="16"/>
  <c r="AU74" i="16"/>
  <c r="AT74" i="16"/>
  <c r="AS74" i="16"/>
  <c r="AR74" i="16"/>
  <c r="AQ74" i="16"/>
  <c r="AP74" i="16"/>
  <c r="BD72" i="16"/>
  <c r="BC72" i="16"/>
  <c r="BB72" i="16"/>
  <c r="BA72" i="16"/>
  <c r="AZ72" i="16"/>
  <c r="AY72" i="16"/>
  <c r="AX72" i="16"/>
  <c r="AW72" i="16"/>
  <c r="AV72" i="16"/>
  <c r="AU72" i="16"/>
  <c r="AT72" i="16"/>
  <c r="AS72" i="16"/>
  <c r="AR72" i="16"/>
  <c r="AQ72" i="16"/>
  <c r="AP72" i="16"/>
  <c r="BD71" i="16"/>
  <c r="BC71" i="16"/>
  <c r="BB71" i="16"/>
  <c r="BA71" i="16"/>
  <c r="AZ71" i="16"/>
  <c r="AY71" i="16"/>
  <c r="AX71" i="16"/>
  <c r="AW71" i="16"/>
  <c r="AV71" i="16"/>
  <c r="AU71" i="16"/>
  <c r="AT71" i="16"/>
  <c r="AS71" i="16"/>
  <c r="AR71" i="16"/>
  <c r="AQ71" i="16"/>
  <c r="AP71" i="16"/>
  <c r="BD69" i="16"/>
  <c r="BC69" i="16"/>
  <c r="BB69" i="16"/>
  <c r="BA69" i="16"/>
  <c r="AZ69" i="16"/>
  <c r="AY69" i="16"/>
  <c r="AX69" i="16"/>
  <c r="AW69" i="16"/>
  <c r="AV69" i="16"/>
  <c r="AU69" i="16"/>
  <c r="AT69" i="16"/>
  <c r="AS69" i="16"/>
  <c r="AR69" i="16"/>
  <c r="AQ69" i="16"/>
  <c r="AP69" i="16"/>
  <c r="BD68" i="16"/>
  <c r="BC68" i="16"/>
  <c r="BB68" i="16"/>
  <c r="BA68" i="16"/>
  <c r="AZ68" i="16"/>
  <c r="AY68" i="16"/>
  <c r="AX68" i="16"/>
  <c r="AW68" i="16"/>
  <c r="AV68" i="16"/>
  <c r="AU68" i="16"/>
  <c r="AT68" i="16"/>
  <c r="AS68" i="16"/>
  <c r="AR68" i="16"/>
  <c r="AQ68" i="16"/>
  <c r="AP68" i="16"/>
  <c r="BD66" i="16"/>
  <c r="BC66" i="16"/>
  <c r="BB66" i="16"/>
  <c r="BA66" i="16"/>
  <c r="AZ66" i="16"/>
  <c r="AY66" i="16"/>
  <c r="AX66" i="16"/>
  <c r="AW66" i="16"/>
  <c r="AV66" i="16"/>
  <c r="AU66" i="16"/>
  <c r="AT66" i="16"/>
  <c r="AS66" i="16"/>
  <c r="AR66" i="16"/>
  <c r="AQ66" i="16"/>
  <c r="AP66" i="16"/>
  <c r="BD65" i="16"/>
  <c r="BC65" i="16"/>
  <c r="BB65" i="16"/>
  <c r="BA65" i="16"/>
  <c r="AZ65" i="16"/>
  <c r="AY65" i="16"/>
  <c r="AX65" i="16"/>
  <c r="AW65" i="16"/>
  <c r="AV65" i="16"/>
  <c r="AU65" i="16"/>
  <c r="AT65" i="16"/>
  <c r="AS65" i="16"/>
  <c r="AR65" i="16"/>
  <c r="AQ65" i="16"/>
  <c r="AP65" i="16"/>
  <c r="BD64" i="16"/>
  <c r="BC64" i="16"/>
  <c r="BB64" i="16"/>
  <c r="BA64" i="16"/>
  <c r="AZ64" i="16"/>
  <c r="AY64" i="16"/>
  <c r="AX64" i="16"/>
  <c r="AW64" i="16"/>
  <c r="AV64" i="16"/>
  <c r="AU64" i="16"/>
  <c r="AT64" i="16"/>
  <c r="AS64" i="16"/>
  <c r="AR64" i="16"/>
  <c r="BD63" i="16"/>
  <c r="BC63" i="16"/>
  <c r="BB63" i="16"/>
  <c r="BA63" i="16"/>
  <c r="AZ63" i="16"/>
  <c r="AY63" i="16"/>
  <c r="AX63" i="16"/>
  <c r="AW63" i="16"/>
  <c r="AV63" i="16"/>
  <c r="AU63" i="16"/>
  <c r="AT63" i="16"/>
  <c r="AS63" i="16"/>
  <c r="AR63" i="16"/>
  <c r="AQ63" i="16"/>
  <c r="AP63" i="16"/>
  <c r="BD60" i="16"/>
  <c r="BC60" i="16"/>
  <c r="BB60" i="16"/>
  <c r="BA60" i="16"/>
  <c r="AZ60" i="16"/>
  <c r="AY60" i="16"/>
  <c r="AX60" i="16"/>
  <c r="AW60" i="16"/>
  <c r="AV60" i="16"/>
  <c r="AU60" i="16"/>
  <c r="AT60" i="16"/>
  <c r="AS60" i="16"/>
  <c r="AR60" i="16"/>
  <c r="AQ60" i="16"/>
  <c r="AP60" i="16"/>
  <c r="BD59" i="16"/>
  <c r="BC59" i="16"/>
  <c r="BB59" i="16"/>
  <c r="BA59" i="16"/>
  <c r="AZ59" i="16"/>
  <c r="AY59" i="16"/>
  <c r="AX59" i="16"/>
  <c r="AW59" i="16"/>
  <c r="AV59" i="16"/>
  <c r="AU59" i="16"/>
  <c r="AT59" i="16"/>
  <c r="AS59" i="16"/>
  <c r="AR59" i="16"/>
  <c r="AQ59" i="16"/>
  <c r="AP59" i="16"/>
  <c r="BD58" i="16"/>
  <c r="BC58" i="16"/>
  <c r="BB58" i="16"/>
  <c r="BA58" i="16"/>
  <c r="AZ58" i="16"/>
  <c r="AY58" i="16"/>
  <c r="AX58" i="16"/>
  <c r="AW58" i="16"/>
  <c r="AV58" i="16"/>
  <c r="AU58" i="16"/>
  <c r="AT58" i="16"/>
  <c r="AS58" i="16"/>
  <c r="AR58" i="16"/>
  <c r="AQ58" i="16"/>
  <c r="AP58" i="16"/>
  <c r="BD57" i="16"/>
  <c r="BC57" i="16"/>
  <c r="BB57" i="16"/>
  <c r="BA57" i="16"/>
  <c r="AZ57" i="16"/>
  <c r="AY57" i="16"/>
  <c r="AX57" i="16"/>
  <c r="AW57" i="16"/>
  <c r="AV57" i="16"/>
  <c r="AU57" i="16"/>
  <c r="AT57" i="16"/>
  <c r="AS57" i="16"/>
  <c r="AR57" i="16"/>
  <c r="AQ57" i="16"/>
  <c r="AP57" i="16"/>
  <c r="BD56" i="16"/>
  <c r="BC56" i="16"/>
  <c r="BB56" i="16"/>
  <c r="BA56" i="16"/>
  <c r="AZ56" i="16"/>
  <c r="AY56" i="16"/>
  <c r="AX56" i="16"/>
  <c r="AW56" i="16"/>
  <c r="AV56" i="16"/>
  <c r="AU56" i="16"/>
  <c r="AT56" i="16"/>
  <c r="AS56" i="16"/>
  <c r="AR56" i="16"/>
  <c r="AQ56" i="16"/>
  <c r="AP56" i="16"/>
  <c r="BD55" i="16"/>
  <c r="BC55" i="16"/>
  <c r="BB55" i="16"/>
  <c r="BA55" i="16"/>
  <c r="AZ55" i="16"/>
  <c r="AY55" i="16"/>
  <c r="AX55" i="16"/>
  <c r="AW55" i="16"/>
  <c r="AV55" i="16"/>
  <c r="AU55" i="16"/>
  <c r="AT55" i="16"/>
  <c r="AS55" i="16"/>
  <c r="AR55" i="16"/>
  <c r="AQ55" i="16"/>
  <c r="AP55" i="16"/>
  <c r="BD54" i="16"/>
  <c r="BC54" i="16"/>
  <c r="BB54" i="16"/>
  <c r="BA54" i="16"/>
  <c r="AZ54" i="16"/>
  <c r="AY54" i="16"/>
  <c r="AX54" i="16"/>
  <c r="AW54" i="16"/>
  <c r="AV54" i="16"/>
  <c r="AU54" i="16"/>
  <c r="AT54" i="16"/>
  <c r="AS54" i="16"/>
  <c r="AR54" i="16"/>
  <c r="AQ54" i="16"/>
  <c r="AP54" i="16"/>
  <c r="BD53" i="16"/>
  <c r="BC53" i="16"/>
  <c r="BB53" i="16"/>
  <c r="BA53" i="16"/>
  <c r="AZ53" i="16"/>
  <c r="AY53" i="16"/>
  <c r="AX53" i="16"/>
  <c r="AW53" i="16"/>
  <c r="AV53" i="16"/>
  <c r="AU53" i="16"/>
  <c r="AT53" i="16"/>
  <c r="AS53" i="16"/>
  <c r="AR53" i="16"/>
  <c r="AQ53" i="16"/>
  <c r="AP53" i="16"/>
  <c r="B92" i="1"/>
  <c r="B89" i="1"/>
  <c r="AM75" i="16"/>
  <c r="AL75" i="16"/>
  <c r="AK75" i="16"/>
  <c r="AM74" i="16"/>
  <c r="AL74" i="16"/>
  <c r="AK74" i="16"/>
  <c r="AM72" i="16"/>
  <c r="AL72" i="16"/>
  <c r="AK72" i="16"/>
  <c r="AM71" i="16"/>
  <c r="AL71" i="16"/>
  <c r="AK71" i="16"/>
  <c r="AM69" i="16"/>
  <c r="AL69" i="16"/>
  <c r="AK69" i="16"/>
  <c r="AM68" i="16"/>
  <c r="AL68" i="16"/>
  <c r="AK68" i="16"/>
  <c r="AM66" i="16"/>
  <c r="AL66" i="16"/>
  <c r="AK66" i="16"/>
  <c r="AM65" i="16"/>
  <c r="AL65" i="16"/>
  <c r="AK65" i="16"/>
  <c r="AM64" i="16"/>
  <c r="AM63" i="16"/>
  <c r="AL63" i="16"/>
  <c r="AK63" i="16"/>
  <c r="AK60" i="16"/>
  <c r="AN60" i="16" s="1"/>
  <c r="AK59" i="16"/>
  <c r="AN59" i="16"/>
  <c r="AK58" i="16"/>
  <c r="AN58" i="16" s="1"/>
  <c r="AK57" i="16"/>
  <c r="AN57" i="16" s="1"/>
  <c r="AK56" i="16"/>
  <c r="AN56" i="16" s="1"/>
  <c r="AK55" i="16"/>
  <c r="AN55" i="16" s="1"/>
  <c r="AK54" i="16"/>
  <c r="AN54" i="16" s="1"/>
  <c r="AK53" i="16"/>
  <c r="AN53" i="16" s="1"/>
  <c r="X53" i="16"/>
  <c r="X54" i="16"/>
  <c r="X55" i="16"/>
  <c r="X56" i="16"/>
  <c r="X57" i="16"/>
  <c r="X58" i="16"/>
  <c r="X59" i="16"/>
  <c r="X60" i="16"/>
  <c r="X63" i="16"/>
  <c r="X65" i="16"/>
  <c r="X66" i="16"/>
  <c r="X68" i="16"/>
  <c r="X69" i="16"/>
  <c r="X71" i="16"/>
  <c r="X72" i="16"/>
  <c r="X74" i="16"/>
  <c r="X75" i="16"/>
  <c r="V68" i="16"/>
  <c r="V53" i="16"/>
  <c r="V55" i="16"/>
  <c r="J64" i="16"/>
  <c r="K64" i="16"/>
  <c r="L64" i="16"/>
  <c r="M64" i="16"/>
  <c r="N64" i="16"/>
  <c r="O64" i="16"/>
  <c r="P64" i="16"/>
  <c r="Q64" i="16"/>
  <c r="R64" i="16"/>
  <c r="I64" i="16"/>
  <c r="S64" i="16"/>
  <c r="T64" i="16"/>
  <c r="D36" i="16"/>
  <c r="E36" i="16"/>
  <c r="D53" i="16"/>
  <c r="G53" i="16"/>
  <c r="H53" i="16"/>
  <c r="I53" i="16"/>
  <c r="J53" i="16"/>
  <c r="K53" i="16"/>
  <c r="L53" i="16"/>
  <c r="M53" i="16"/>
  <c r="N53" i="16"/>
  <c r="O53" i="16"/>
  <c r="P53" i="16"/>
  <c r="Q53" i="16"/>
  <c r="R53" i="16"/>
  <c r="S53" i="16"/>
  <c r="T53" i="16"/>
  <c r="W53" i="16"/>
  <c r="Y53" i="16"/>
  <c r="AA53" i="16"/>
  <c r="AB53" i="16"/>
  <c r="AC53" i="16"/>
  <c r="AD53" i="16"/>
  <c r="AE53" i="16"/>
  <c r="AF53" i="16"/>
  <c r="AG53" i="16"/>
  <c r="AH53" i="16"/>
  <c r="AI53" i="16"/>
  <c r="D54" i="16"/>
  <c r="G54" i="16"/>
  <c r="H54" i="16"/>
  <c r="I54" i="16"/>
  <c r="J54" i="16"/>
  <c r="K54" i="16"/>
  <c r="L54" i="16"/>
  <c r="M54" i="16"/>
  <c r="N54" i="16"/>
  <c r="O54" i="16"/>
  <c r="P54" i="16"/>
  <c r="Q54" i="16"/>
  <c r="R54" i="16"/>
  <c r="S54" i="16"/>
  <c r="T54" i="16"/>
  <c r="V54" i="16"/>
  <c r="W54" i="16"/>
  <c r="Y54" i="16"/>
  <c r="AA54" i="16"/>
  <c r="AB54" i="16"/>
  <c r="AC54" i="16"/>
  <c r="AD54" i="16"/>
  <c r="AE54" i="16"/>
  <c r="AF54" i="16"/>
  <c r="AG54" i="16"/>
  <c r="AH54" i="16"/>
  <c r="AI54" i="16"/>
  <c r="D55" i="16"/>
  <c r="G55" i="16"/>
  <c r="H55" i="16"/>
  <c r="I55" i="16"/>
  <c r="J55" i="16"/>
  <c r="K55" i="16"/>
  <c r="L55" i="16"/>
  <c r="M55" i="16"/>
  <c r="N55" i="16"/>
  <c r="O55" i="16"/>
  <c r="P55" i="16"/>
  <c r="Q55" i="16"/>
  <c r="R55" i="16"/>
  <c r="S55" i="16"/>
  <c r="T55" i="16"/>
  <c r="W55" i="16"/>
  <c r="Y55" i="16"/>
  <c r="AA55" i="16"/>
  <c r="AB55" i="16"/>
  <c r="AC55" i="16"/>
  <c r="AD55" i="16"/>
  <c r="AE55" i="16"/>
  <c r="AF55" i="16"/>
  <c r="AG55" i="16"/>
  <c r="AH55" i="16"/>
  <c r="AI55" i="16"/>
  <c r="D56" i="16"/>
  <c r="G56" i="16"/>
  <c r="H56" i="16"/>
  <c r="I56" i="16"/>
  <c r="J56" i="16"/>
  <c r="K56" i="16"/>
  <c r="L56" i="16"/>
  <c r="M56" i="16"/>
  <c r="N56" i="16"/>
  <c r="O56" i="16"/>
  <c r="P56" i="16"/>
  <c r="Q56" i="16"/>
  <c r="R56" i="16"/>
  <c r="S56" i="16"/>
  <c r="T56" i="16"/>
  <c r="V56" i="16"/>
  <c r="W56" i="16"/>
  <c r="Y56" i="16"/>
  <c r="AA56" i="16"/>
  <c r="AB56" i="16"/>
  <c r="AC56" i="16"/>
  <c r="AD56" i="16"/>
  <c r="AE56" i="16"/>
  <c r="AF56" i="16"/>
  <c r="AG56" i="16"/>
  <c r="AH56" i="16"/>
  <c r="AI56" i="16"/>
  <c r="D57" i="16"/>
  <c r="G57" i="16"/>
  <c r="H57" i="16"/>
  <c r="I57" i="16"/>
  <c r="J57" i="16"/>
  <c r="K57" i="16"/>
  <c r="L57" i="16"/>
  <c r="M57" i="16"/>
  <c r="N57" i="16"/>
  <c r="O57" i="16"/>
  <c r="P57" i="16"/>
  <c r="Q57" i="16"/>
  <c r="R57" i="16"/>
  <c r="S57" i="16"/>
  <c r="T57" i="16"/>
  <c r="V57" i="16"/>
  <c r="W57" i="16"/>
  <c r="Y57" i="16"/>
  <c r="AA57" i="16"/>
  <c r="AB57" i="16"/>
  <c r="AC57" i="16"/>
  <c r="AD57" i="16"/>
  <c r="AE57" i="16"/>
  <c r="AF57" i="16"/>
  <c r="AG57" i="16"/>
  <c r="AH57" i="16"/>
  <c r="AI57" i="16"/>
  <c r="D58" i="16"/>
  <c r="G58" i="16"/>
  <c r="H58" i="16"/>
  <c r="I58" i="16"/>
  <c r="J58" i="16"/>
  <c r="K58" i="16"/>
  <c r="L58" i="16"/>
  <c r="M58" i="16"/>
  <c r="N58" i="16"/>
  <c r="O58" i="16"/>
  <c r="P58" i="16"/>
  <c r="Q58" i="16"/>
  <c r="R58" i="16"/>
  <c r="S58" i="16"/>
  <c r="T58" i="16"/>
  <c r="V58" i="16"/>
  <c r="W58" i="16"/>
  <c r="Y58" i="16"/>
  <c r="AA58" i="16"/>
  <c r="AB58" i="16"/>
  <c r="AC58" i="16"/>
  <c r="AD58" i="16"/>
  <c r="AE58" i="16"/>
  <c r="AF58" i="16"/>
  <c r="AG58" i="16"/>
  <c r="AH58" i="16"/>
  <c r="AI58" i="16"/>
  <c r="D59" i="16"/>
  <c r="G59" i="16"/>
  <c r="H59" i="16"/>
  <c r="I59" i="16"/>
  <c r="J59" i="16"/>
  <c r="K59" i="16"/>
  <c r="L59" i="16"/>
  <c r="M59" i="16"/>
  <c r="N59" i="16"/>
  <c r="O59" i="16"/>
  <c r="P59" i="16"/>
  <c r="Q59" i="16"/>
  <c r="R59" i="16"/>
  <c r="S59" i="16"/>
  <c r="T59" i="16"/>
  <c r="V59" i="16"/>
  <c r="W59" i="16"/>
  <c r="Y59" i="16"/>
  <c r="AA59" i="16"/>
  <c r="AB59" i="16"/>
  <c r="AC59" i="16"/>
  <c r="AD59" i="16"/>
  <c r="AE59" i="16"/>
  <c r="AF59" i="16"/>
  <c r="AG59" i="16"/>
  <c r="AH59" i="16"/>
  <c r="AI59" i="16"/>
  <c r="D60" i="16"/>
  <c r="G60" i="16"/>
  <c r="H60" i="16"/>
  <c r="I60" i="16"/>
  <c r="J60" i="16"/>
  <c r="K60" i="16"/>
  <c r="L60" i="16"/>
  <c r="M60" i="16"/>
  <c r="N60" i="16"/>
  <c r="O60" i="16"/>
  <c r="P60" i="16"/>
  <c r="Q60" i="16"/>
  <c r="R60" i="16"/>
  <c r="S60" i="16"/>
  <c r="T60" i="16"/>
  <c r="V60" i="16"/>
  <c r="W60" i="16"/>
  <c r="Y60" i="16"/>
  <c r="AA60" i="16"/>
  <c r="AB60" i="16"/>
  <c r="AC60" i="16"/>
  <c r="AD60" i="16"/>
  <c r="AE60" i="16"/>
  <c r="AF60" i="16"/>
  <c r="AG60" i="16"/>
  <c r="AH60" i="16"/>
  <c r="AI60" i="16"/>
  <c r="D63" i="16"/>
  <c r="G63" i="16"/>
  <c r="H63" i="16"/>
  <c r="I63" i="16"/>
  <c r="J63" i="16"/>
  <c r="K63" i="16"/>
  <c r="L63" i="16"/>
  <c r="M63" i="16"/>
  <c r="N63" i="16"/>
  <c r="O63" i="16"/>
  <c r="P63" i="16"/>
  <c r="Q63" i="16"/>
  <c r="R63" i="16"/>
  <c r="S63" i="16"/>
  <c r="T63" i="16"/>
  <c r="V63" i="16"/>
  <c r="W63" i="16"/>
  <c r="Y63" i="16"/>
  <c r="AA63" i="16"/>
  <c r="AB63" i="16"/>
  <c r="AC63" i="16"/>
  <c r="AD63" i="16"/>
  <c r="AE63" i="16"/>
  <c r="AF63" i="16"/>
  <c r="AG63" i="16"/>
  <c r="AH63" i="16"/>
  <c r="AI63" i="16"/>
  <c r="D65" i="16"/>
  <c r="G65" i="16"/>
  <c r="H65" i="16"/>
  <c r="I65" i="16"/>
  <c r="J65" i="16"/>
  <c r="K65" i="16"/>
  <c r="L65" i="16"/>
  <c r="M65" i="16"/>
  <c r="N65" i="16"/>
  <c r="O65" i="16"/>
  <c r="P65" i="16"/>
  <c r="Q65" i="16"/>
  <c r="R65" i="16"/>
  <c r="S65" i="16"/>
  <c r="T65" i="16"/>
  <c r="V65" i="16"/>
  <c r="W65" i="16"/>
  <c r="Y65" i="16"/>
  <c r="AA65" i="16"/>
  <c r="AB65" i="16"/>
  <c r="AC65" i="16"/>
  <c r="AD65" i="16"/>
  <c r="AE65" i="16"/>
  <c r="AF65" i="16"/>
  <c r="AG65" i="16"/>
  <c r="AH65" i="16"/>
  <c r="AI65" i="16"/>
  <c r="D66" i="16"/>
  <c r="G66" i="16"/>
  <c r="H66" i="16"/>
  <c r="I66" i="16"/>
  <c r="J66" i="16"/>
  <c r="K66" i="16"/>
  <c r="L66" i="16"/>
  <c r="M66" i="16"/>
  <c r="N66" i="16"/>
  <c r="O66" i="16"/>
  <c r="P66" i="16"/>
  <c r="Q66" i="16"/>
  <c r="R66" i="16"/>
  <c r="S66" i="16"/>
  <c r="T66" i="16"/>
  <c r="V66" i="16"/>
  <c r="W66" i="16"/>
  <c r="Y66" i="16"/>
  <c r="AA66" i="16"/>
  <c r="AB66" i="16"/>
  <c r="AC66" i="16"/>
  <c r="AD66" i="16"/>
  <c r="AE66" i="16"/>
  <c r="AF66" i="16"/>
  <c r="AG66" i="16"/>
  <c r="AH66" i="16"/>
  <c r="AI66" i="16"/>
  <c r="D68" i="16"/>
  <c r="G68" i="16"/>
  <c r="H68" i="16"/>
  <c r="I68" i="16"/>
  <c r="J68" i="16"/>
  <c r="K68" i="16"/>
  <c r="L68" i="16"/>
  <c r="M68" i="16"/>
  <c r="N68" i="16"/>
  <c r="O68" i="16"/>
  <c r="P68" i="16"/>
  <c r="Q68" i="16"/>
  <c r="R68" i="16"/>
  <c r="S68" i="16"/>
  <c r="T68" i="16"/>
  <c r="W68" i="16"/>
  <c r="Y68" i="16"/>
  <c r="AA68" i="16"/>
  <c r="AB68" i="16"/>
  <c r="AC68" i="16"/>
  <c r="AD68" i="16"/>
  <c r="AE68" i="16"/>
  <c r="AF68" i="16"/>
  <c r="AG68" i="16"/>
  <c r="AH68" i="16"/>
  <c r="AI68" i="16"/>
  <c r="D69" i="16"/>
  <c r="G69" i="16"/>
  <c r="H69" i="16"/>
  <c r="I69" i="16"/>
  <c r="J69" i="16"/>
  <c r="K69" i="16"/>
  <c r="L69" i="16"/>
  <c r="M69" i="16"/>
  <c r="N69" i="16"/>
  <c r="O69" i="16"/>
  <c r="P69" i="16"/>
  <c r="Q69" i="16"/>
  <c r="R69" i="16"/>
  <c r="S69" i="16"/>
  <c r="T69" i="16"/>
  <c r="V69" i="16"/>
  <c r="W69" i="16"/>
  <c r="Y69" i="16"/>
  <c r="AA69" i="16"/>
  <c r="AB69" i="16"/>
  <c r="AC69" i="16"/>
  <c r="AD69" i="16"/>
  <c r="AE69" i="16"/>
  <c r="AF69" i="16"/>
  <c r="AG69" i="16"/>
  <c r="AH69" i="16"/>
  <c r="AI69" i="16"/>
  <c r="D71" i="16"/>
  <c r="G71" i="16"/>
  <c r="H71" i="16"/>
  <c r="I71" i="16"/>
  <c r="J71" i="16"/>
  <c r="K71" i="16"/>
  <c r="L71" i="16"/>
  <c r="M71" i="16"/>
  <c r="N71" i="16"/>
  <c r="O71" i="16"/>
  <c r="P71" i="16"/>
  <c r="Q71" i="16"/>
  <c r="R71" i="16"/>
  <c r="S71" i="16"/>
  <c r="T71" i="16"/>
  <c r="V71" i="16"/>
  <c r="W71" i="16"/>
  <c r="Y71" i="16"/>
  <c r="AA71" i="16"/>
  <c r="AB71" i="16"/>
  <c r="AC71" i="16"/>
  <c r="AD71" i="16"/>
  <c r="AE71" i="16"/>
  <c r="AF71" i="16"/>
  <c r="AG71" i="16"/>
  <c r="AH71" i="16"/>
  <c r="AI71" i="16"/>
  <c r="D72" i="16"/>
  <c r="G72" i="16"/>
  <c r="H72" i="16"/>
  <c r="I72" i="16"/>
  <c r="J72" i="16"/>
  <c r="K72" i="16"/>
  <c r="L72" i="16"/>
  <c r="M72" i="16"/>
  <c r="N72" i="16"/>
  <c r="O72" i="16"/>
  <c r="P72" i="16"/>
  <c r="Q72" i="16"/>
  <c r="R72" i="16"/>
  <c r="S72" i="16"/>
  <c r="T72" i="16"/>
  <c r="V72" i="16"/>
  <c r="W72" i="16"/>
  <c r="Y72" i="16"/>
  <c r="AA72" i="16"/>
  <c r="AB72" i="16"/>
  <c r="AC72" i="16"/>
  <c r="AD72" i="16"/>
  <c r="AE72" i="16"/>
  <c r="AF72" i="16"/>
  <c r="AG72" i="16"/>
  <c r="D74" i="16"/>
  <c r="G74" i="16"/>
  <c r="H74" i="16"/>
  <c r="I74" i="16"/>
  <c r="J74" i="16"/>
  <c r="K74" i="16"/>
  <c r="L74" i="16"/>
  <c r="M74" i="16"/>
  <c r="N74" i="16"/>
  <c r="O74" i="16"/>
  <c r="P74" i="16"/>
  <c r="Q74" i="16"/>
  <c r="R74" i="16"/>
  <c r="S74" i="16"/>
  <c r="T74" i="16"/>
  <c r="V74" i="16"/>
  <c r="W74" i="16"/>
  <c r="Y74" i="16"/>
  <c r="AA74" i="16"/>
  <c r="AB74" i="16"/>
  <c r="AC74" i="16"/>
  <c r="AD74" i="16"/>
  <c r="AE74" i="16"/>
  <c r="AF74" i="16"/>
  <c r="AG74" i="16"/>
  <c r="AH74" i="16"/>
  <c r="AI74" i="16"/>
  <c r="D75" i="16"/>
  <c r="G75" i="16"/>
  <c r="H75" i="16"/>
  <c r="I75" i="16"/>
  <c r="J75" i="16"/>
  <c r="K75" i="16"/>
  <c r="L75" i="16"/>
  <c r="M75" i="16"/>
  <c r="N75" i="16"/>
  <c r="O75" i="16"/>
  <c r="P75" i="16"/>
  <c r="Q75" i="16"/>
  <c r="R75" i="16"/>
  <c r="S75" i="16"/>
  <c r="T75" i="16"/>
  <c r="V75" i="16"/>
  <c r="W75" i="16"/>
  <c r="Y75" i="16"/>
  <c r="AA75" i="16"/>
  <c r="AB75" i="16"/>
  <c r="AC75" i="16"/>
  <c r="AD75" i="16"/>
  <c r="AE75" i="16"/>
  <c r="AF75" i="16"/>
  <c r="AG75" i="16"/>
  <c r="AH75" i="16"/>
  <c r="AI75" i="16"/>
  <c r="G11" i="2"/>
  <c r="C15" i="2"/>
  <c r="D42" i="1"/>
  <c r="E19" i="2"/>
  <c r="C24" i="2"/>
  <c r="C40" i="2"/>
  <c r="B29" i="1"/>
  <c r="C29" i="1"/>
  <c r="D29" i="1"/>
  <c r="E29" i="1"/>
  <c r="F29" i="1"/>
  <c r="G29" i="1"/>
  <c r="B30" i="1"/>
  <c r="B31" i="1" s="1"/>
  <c r="C30" i="1"/>
  <c r="C31" i="1" s="1"/>
  <c r="D30" i="1"/>
  <c r="D31" i="1" s="1"/>
  <c r="E30" i="1"/>
  <c r="E31" i="1" s="1"/>
  <c r="E32" i="1" s="1"/>
  <c r="F30" i="1"/>
  <c r="F31" i="1" s="1"/>
  <c r="G30" i="1"/>
  <c r="G31" i="1" s="1"/>
  <c r="B33" i="1"/>
  <c r="C33" i="1"/>
  <c r="E33" i="1"/>
  <c r="F33" i="1"/>
  <c r="G33" i="1"/>
  <c r="B34" i="1"/>
  <c r="C34" i="1"/>
  <c r="D34" i="1"/>
  <c r="E34" i="1"/>
  <c r="F34" i="1"/>
  <c r="G34" i="1"/>
  <c r="B36" i="1"/>
  <c r="C36" i="1"/>
  <c r="D36" i="1"/>
  <c r="E36" i="1"/>
  <c r="F36" i="1"/>
  <c r="G36" i="1"/>
  <c r="B38" i="1"/>
  <c r="B47" i="1" s="1"/>
  <c r="B72" i="1"/>
  <c r="C38" i="1"/>
  <c r="C46" i="1" s="1"/>
  <c r="D38" i="1"/>
  <c r="D52" i="1" s="1"/>
  <c r="E38" i="1"/>
  <c r="E46" i="1" s="1"/>
  <c r="F38" i="1"/>
  <c r="F46" i="1" s="1"/>
  <c r="G38" i="1"/>
  <c r="G47" i="1" s="1"/>
  <c r="B42" i="1"/>
  <c r="C42" i="1"/>
  <c r="E42" i="1"/>
  <c r="F42" i="1"/>
  <c r="G42" i="1"/>
  <c r="B44" i="1"/>
  <c r="C44" i="1"/>
  <c r="D44" i="1"/>
  <c r="E44" i="1"/>
  <c r="F44" i="1"/>
  <c r="G44" i="1"/>
  <c r="B49" i="1"/>
  <c r="C49" i="1"/>
  <c r="D49" i="1"/>
  <c r="E49" i="1"/>
  <c r="F49" i="1"/>
  <c r="G49" i="1"/>
  <c r="B55" i="1"/>
  <c r="C55" i="1"/>
  <c r="D55" i="1"/>
  <c r="E55" i="1"/>
  <c r="F55" i="1"/>
  <c r="G55" i="1"/>
  <c r="B57" i="1"/>
  <c r="C57" i="1"/>
  <c r="D57" i="1"/>
  <c r="E57" i="1"/>
  <c r="F57" i="1"/>
  <c r="G57" i="1"/>
  <c r="C72" i="1"/>
  <c r="D72" i="1"/>
  <c r="E72" i="1"/>
  <c r="F72" i="1"/>
  <c r="G72" i="1"/>
  <c r="C73" i="1"/>
  <c r="D73" i="1"/>
  <c r="E73" i="1"/>
  <c r="F73" i="1"/>
  <c r="G73" i="1"/>
  <c r="C74" i="1"/>
  <c r="D74" i="1"/>
  <c r="E74" i="1"/>
  <c r="F74" i="1"/>
  <c r="G74" i="1"/>
  <c r="B76" i="1"/>
  <c r="B77" i="1" s="1"/>
  <c r="C76" i="1"/>
  <c r="C77" i="1" s="1"/>
  <c r="D76" i="1"/>
  <c r="D77" i="1"/>
  <c r="E76" i="1"/>
  <c r="F76" i="1"/>
  <c r="F77" i="1" s="1"/>
  <c r="G76" i="1"/>
  <c r="G77" i="1" s="1"/>
  <c r="E77" i="1"/>
  <c r="C92" i="1"/>
  <c r="E30" i="8"/>
  <c r="E31" i="8"/>
  <c r="E60" i="8"/>
  <c r="E62" i="8" s="1"/>
  <c r="E61" i="8"/>
  <c r="G92" i="1"/>
  <c r="D92" i="1"/>
  <c r="E92" i="1"/>
  <c r="AJ55" i="16"/>
  <c r="AJ59" i="16"/>
  <c r="F89" i="1"/>
  <c r="G89" i="1"/>
  <c r="F92" i="1"/>
  <c r="E89" i="1"/>
  <c r="D89" i="1"/>
  <c r="C89" i="1"/>
  <c r="B73" i="1"/>
  <c r="E53" i="1"/>
  <c r="E75" i="8" l="1"/>
  <c r="AJ58" i="16"/>
  <c r="AJ57" i="16"/>
  <c r="AJ53" i="16"/>
  <c r="G65" i="19"/>
  <c r="AJ60" i="16"/>
  <c r="B74" i="1"/>
  <c r="B75" i="1" s="1"/>
  <c r="B78" i="1" s="1"/>
  <c r="B83" i="1" s="1"/>
  <c r="G35" i="1"/>
  <c r="G37" i="1" s="1"/>
  <c r="G81" i="1" s="1"/>
  <c r="G87" i="1" s="1"/>
  <c r="G32" i="1"/>
  <c r="G84" i="1"/>
  <c r="G90" i="1" s="1"/>
  <c r="AJ65" i="16"/>
  <c r="G52" i="1"/>
  <c r="G40" i="1"/>
  <c r="G43" i="1" s="1"/>
  <c r="AJ56" i="16"/>
  <c r="G103" i="19"/>
  <c r="E29" i="8"/>
  <c r="E36" i="8" s="1"/>
  <c r="AJ54" i="16"/>
  <c r="G51" i="19"/>
  <c r="D84" i="1"/>
  <c r="D90" i="1" s="1"/>
  <c r="D35" i="1"/>
  <c r="D37" i="1" s="1"/>
  <c r="D81" i="1" s="1"/>
  <c r="D87" i="1" s="1"/>
  <c r="D32" i="1"/>
  <c r="C84" i="1"/>
  <c r="C90" i="1" s="1"/>
  <c r="C35" i="1"/>
  <c r="C37" i="1" s="1"/>
  <c r="C81" i="1" s="1"/>
  <c r="C87" i="1" s="1"/>
  <c r="C32" i="1"/>
  <c r="B84" i="1"/>
  <c r="B90" i="1" s="1"/>
  <c r="B35" i="1"/>
  <c r="B37" i="1" s="1"/>
  <c r="B81" i="1" s="1"/>
  <c r="B87" i="1" s="1"/>
  <c r="B32" i="1"/>
  <c r="F84" i="1"/>
  <c r="F90" i="1" s="1"/>
  <c r="F32" i="1"/>
  <c r="F35" i="1"/>
  <c r="F37" i="1" s="1"/>
  <c r="F81" i="1" s="1"/>
  <c r="F87" i="1" s="1"/>
  <c r="F40" i="1"/>
  <c r="E35" i="1"/>
  <c r="E37" i="1" s="1"/>
  <c r="E81" i="1" s="1"/>
  <c r="E87" i="1" s="1"/>
  <c r="E84" i="1"/>
  <c r="E90" i="1" s="1"/>
  <c r="F47" i="1"/>
  <c r="F48" i="1" s="1"/>
  <c r="F50" i="1" s="1"/>
  <c r="F52" i="1"/>
  <c r="F54" i="1" s="1"/>
  <c r="F56" i="1" s="1"/>
  <c r="F58" i="1" s="1"/>
  <c r="D75" i="1"/>
  <c r="D78" i="1" s="1"/>
  <c r="D83" i="1" s="1"/>
  <c r="C75" i="1"/>
  <c r="C78" i="1" s="1"/>
  <c r="C83" i="1" s="1"/>
  <c r="B40" i="1"/>
  <c r="B41" i="1" s="1"/>
  <c r="D53" i="1"/>
  <c r="F53" i="1"/>
  <c r="E47" i="1"/>
  <c r="E48" i="1" s="1"/>
  <c r="E50" i="1" s="1"/>
  <c r="D40" i="1"/>
  <c r="D41" i="1" s="1"/>
  <c r="G46" i="1"/>
  <c r="G48" i="1" s="1"/>
  <c r="G50" i="1" s="1"/>
  <c r="G75" i="1"/>
  <c r="G78" i="1" s="1"/>
  <c r="G83" i="1" s="1"/>
  <c r="F75" i="1"/>
  <c r="F78" i="1" s="1"/>
  <c r="F83" i="1" s="1"/>
  <c r="E40" i="1"/>
  <c r="E43" i="1" s="1"/>
  <c r="E75" i="1"/>
  <c r="E78" i="1" s="1"/>
  <c r="E83" i="1" s="1"/>
  <c r="E52" i="1"/>
  <c r="E54" i="1" s="1"/>
  <c r="E56" i="1" s="1"/>
  <c r="B53" i="1"/>
  <c r="D54" i="1"/>
  <c r="D56" i="1" s="1"/>
  <c r="D58" i="1" s="1"/>
  <c r="C40" i="1"/>
  <c r="C41" i="1" s="1"/>
  <c r="C47" i="1"/>
  <c r="C48" i="1" s="1"/>
  <c r="C50" i="1" s="1"/>
  <c r="C53" i="1"/>
  <c r="B52" i="1"/>
  <c r="G53" i="1"/>
  <c r="C52" i="1"/>
  <c r="B46" i="1"/>
  <c r="B48" i="1" s="1"/>
  <c r="B50" i="1" s="1"/>
  <c r="D47" i="1"/>
  <c r="D46" i="1"/>
  <c r="E33" i="8" l="1"/>
  <c r="E32" i="8"/>
  <c r="E34" i="8"/>
  <c r="E37" i="8" s="1"/>
  <c r="E38" i="8" s="1"/>
  <c r="E43" i="8" s="1"/>
  <c r="E35" i="8"/>
  <c r="E41" i="1"/>
  <c r="G54" i="1"/>
  <c r="G56" i="1" s="1"/>
  <c r="G58" i="1" s="1"/>
  <c r="G41" i="1"/>
  <c r="B54" i="1"/>
  <c r="B56" i="1" s="1"/>
  <c r="B58" i="1" s="1"/>
  <c r="F43" i="1"/>
  <c r="F41" i="1"/>
  <c r="D43" i="1"/>
  <c r="B43" i="1"/>
  <c r="E58" i="1"/>
  <c r="E65" i="1"/>
  <c r="E66" i="1" s="1"/>
  <c r="E67" i="1" s="1"/>
  <c r="E68" i="1" s="1"/>
  <c r="E69" i="1" s="1"/>
  <c r="E82" i="1" s="1"/>
  <c r="C54" i="1"/>
  <c r="C56" i="1" s="1"/>
  <c r="D48" i="1"/>
  <c r="D50" i="1" s="1"/>
  <c r="D65" i="1" s="1"/>
  <c r="D66" i="1" s="1"/>
  <c r="D67" i="1" s="1"/>
  <c r="C43" i="1"/>
  <c r="F65" i="1"/>
  <c r="F66" i="1" s="1"/>
  <c r="G65" i="1" l="1"/>
  <c r="G66" i="1" s="1"/>
  <c r="G67" i="1" s="1"/>
  <c r="G68" i="1" s="1"/>
  <c r="F67" i="1"/>
  <c r="B65" i="1"/>
  <c r="B66" i="1" s="1"/>
  <c r="B67" i="1" s="1"/>
  <c r="B69" i="1" s="1"/>
  <c r="E39" i="8"/>
  <c r="E45" i="8" s="1"/>
  <c r="E49" i="8" s="1"/>
  <c r="E48" i="8"/>
  <c r="E67" i="8"/>
  <c r="E68" i="8" s="1"/>
  <c r="E69" i="8" s="1"/>
  <c r="E47" i="8"/>
  <c r="E70" i="1"/>
  <c r="E71" i="1" s="1"/>
  <c r="C58" i="1"/>
  <c r="C65" i="1"/>
  <c r="C66" i="1" s="1"/>
  <c r="C67" i="1" s="1"/>
  <c r="D69" i="1"/>
  <c r="D68" i="1"/>
  <c r="F68" i="1"/>
  <c r="F69" i="1" s="1"/>
  <c r="G69" i="1" l="1"/>
  <c r="B68" i="1"/>
  <c r="E46" i="8"/>
  <c r="E56" i="8" s="1"/>
  <c r="E50" i="8"/>
  <c r="E58" i="8" s="1"/>
  <c r="E63" i="8" s="1"/>
  <c r="C69" i="1"/>
  <c r="C68" i="1"/>
  <c r="D82" i="1"/>
  <c r="D70" i="1"/>
  <c r="D71" i="1" s="1"/>
  <c r="G70" i="1"/>
  <c r="G71" i="1" s="1"/>
  <c r="G82" i="1"/>
  <c r="B70" i="1"/>
  <c r="B71" i="1" s="1"/>
  <c r="B82" i="1"/>
  <c r="F70" i="1"/>
  <c r="F71" i="1" s="1"/>
  <c r="F82" i="1"/>
  <c r="G63" i="8" l="1"/>
  <c r="E64" i="8" s="1"/>
  <c r="C73" i="8" s="1"/>
  <c r="E53" i="8"/>
  <c r="B77" i="8" s="1"/>
  <c r="E70" i="8"/>
  <c r="C70" i="1"/>
  <c r="C71" i="1" s="1"/>
  <c r="C82" i="1"/>
  <c r="B73" i="8" l="1"/>
  <c r="B74" i="8" s="1"/>
  <c r="D73" i="8"/>
  <c r="D76" i="8" s="1"/>
  <c r="E57" i="8"/>
  <c r="C74" i="8" l="1"/>
  <c r="F74" i="8" s="1"/>
  <c r="B76" i="8"/>
  <c r="E73" i="8"/>
  <c r="F73" i="8"/>
  <c r="E74" i="8"/>
  <c r="C76" i="8" l="1"/>
  <c r="F76" i="8" s="1"/>
  <c r="E76"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Duane Tiemann</author>
    <author>EMC</author>
  </authors>
  <commentList>
    <comment ref="E11" authorId="0" shapeId="0" xr:uid="{00000000-0006-0000-0100-000001000000}">
      <text>
        <r>
          <rPr>
            <b/>
            <sz val="8"/>
            <color rgb="FF000000"/>
            <rFont val="Tahoma"/>
            <family val="2"/>
          </rPr>
          <t xml:space="preserve">The SpecInt speed be obtained from SpecInt web site at http://www.spec.org/cpu2006/results/cint2006.html
</t>
        </r>
        <r>
          <rPr>
            <b/>
            <sz val="8"/>
            <color rgb="FF000000"/>
            <rFont val="Tahoma"/>
            <family val="2"/>
          </rPr>
          <t>21 is a medium speed these days. 30 is fast. 40+ is way fast.</t>
        </r>
        <r>
          <rPr>
            <sz val="8"/>
            <color rgb="FF000000"/>
            <rFont val="Tahoma"/>
            <family val="2"/>
          </rPr>
          <t xml:space="preserve">
</t>
        </r>
        <r>
          <rPr>
            <sz val="8"/>
            <color rgb="FF000000"/>
            <rFont val="Tahoma"/>
            <family val="2"/>
          </rPr>
          <t xml:space="preserve">
</t>
        </r>
        <r>
          <rPr>
            <b/>
            <sz val="8"/>
            <color rgb="FF000000"/>
            <rFont val="Tahoma"/>
            <family val="2"/>
          </rPr>
          <t xml:space="preserve">For Linux the cpu model can be obtained via "cat /proc/cpuinfo".  
</t>
        </r>
        <r>
          <rPr>
            <b/>
            <sz val="8"/>
            <color rgb="FF000000"/>
            <rFont val="Tahoma"/>
            <family val="2"/>
          </rPr>
          <t xml:space="preserve">For Windows, depending on the version, it can usually be obtained from Computer or 'My Computer' properties.  
</t>
        </r>
        <r>
          <rPr>
            <b/>
            <sz val="8"/>
            <color rgb="FF000000"/>
            <rFont val="Tahoma"/>
            <family val="2"/>
          </rPr>
          <t xml:space="preserve">Right click on Computer or 'My Computer' to get to properties.  
</t>
        </r>
        <r>
          <rPr>
            <b/>
            <sz val="8"/>
            <color rgb="FF000000"/>
            <rFont val="Tahoma"/>
            <family val="2"/>
          </rPr>
          <t>e.g. "Intel(R) Xeon(R) CPU X5680 @ 3.33GHz (2 processors)"</t>
        </r>
      </text>
    </comment>
    <comment ref="E14" authorId="1" shapeId="0" xr:uid="{00000000-0006-0000-0100-000002000000}">
      <text>
        <r>
          <rPr>
            <b/>
            <sz val="9"/>
            <color indexed="81"/>
            <rFont val="Tahoma"/>
            <family val="2"/>
          </rPr>
          <t>EMC:</t>
        </r>
        <r>
          <rPr>
            <sz val="9"/>
            <color indexed="81"/>
            <rFont val="Tahoma"/>
            <family val="2"/>
          </rPr>
          <t xml:space="preserve">
Latency between the IP and SAM server can be fetched from the output of the ping command from SAM machine to IP or vice versa. The lower the latencym better is the performance. </t>
        </r>
      </text>
    </comment>
    <comment ref="E20" authorId="1" shapeId="0" xr:uid="{00000000-0006-0000-0100-000003000000}">
      <text>
        <r>
          <rPr>
            <b/>
            <sz val="9"/>
            <color rgb="FF000000"/>
            <rFont val="Tahoma"/>
            <family val="2"/>
          </rPr>
          <t>EMC:</t>
        </r>
        <r>
          <rPr>
            <sz val="9"/>
            <color rgb="FF000000"/>
            <rFont val="Tahoma"/>
            <family val="2"/>
          </rPr>
          <t xml:space="preserve">
</t>
        </r>
        <r>
          <rPr>
            <sz val="9"/>
            <color rgb="FF000000"/>
            <rFont val="Tahoma"/>
            <family val="2"/>
          </rPr>
          <t>It can be decided only after the new SAM server comes up and shows everything the older SAM server used to show.</t>
        </r>
      </text>
    </comment>
    <comment ref="E21" authorId="1" shapeId="0" xr:uid="{00000000-0006-0000-0100-000004000000}">
      <text>
        <r>
          <rPr>
            <b/>
            <sz val="9"/>
            <color rgb="FF000000"/>
            <rFont val="Tahoma"/>
            <family val="2"/>
          </rPr>
          <t>EMC:</t>
        </r>
        <r>
          <rPr>
            <sz val="9"/>
            <color rgb="FF000000"/>
            <rFont val="Tahoma"/>
            <family val="2"/>
          </rPr>
          <t xml:space="preserve">
</t>
        </r>
        <r>
          <rPr>
            <sz val="9"/>
            <color rgb="FF000000"/>
            <rFont val="Tahoma"/>
            <family val="2"/>
          </rPr>
          <t>Outstanding notifications are notifications that have not been acknowledged yet.  They need to be sent at console connect time</t>
        </r>
      </text>
    </comment>
    <comment ref="E23" authorId="1" shapeId="0" xr:uid="{00000000-0006-0000-0100-000005000000}">
      <text>
        <r>
          <rPr>
            <b/>
            <sz val="9"/>
            <color rgb="FF000000"/>
            <rFont val="Tahoma"/>
            <family val="2"/>
          </rPr>
          <t>EMC:</t>
        </r>
        <r>
          <rPr>
            <sz val="9"/>
            <color rgb="FF000000"/>
            <rFont val="Tahoma"/>
            <family val="2"/>
          </rPr>
          <t xml:space="preserve">
</t>
        </r>
        <r>
          <rPr>
            <sz val="9"/>
            <color rgb="FF000000"/>
            <rFont val="Tahoma"/>
            <family val="2"/>
          </rPr>
          <t>Retained notifications are notifications that have been acknowledged but retained anyway.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Duane Tiemann</author>
    <author>EMC</author>
  </authors>
  <commentList>
    <comment ref="A5" authorId="0" shapeId="0" xr:uid="{00000000-0006-0000-0200-000001000000}">
      <text>
        <r>
          <rPr>
            <sz val="8"/>
            <color indexed="81"/>
            <rFont val="Tahoma"/>
            <family val="2"/>
          </rPr>
          <t xml:space="preserve">This is the cpu speed rating from SpecInt:  The URL for the speed rating is: http://www.spec.org/cpu2006/results/cint2006.html
</t>
        </r>
      </text>
    </comment>
    <comment ref="A6" authorId="0" shapeId="0" xr:uid="{00000000-0006-0000-0200-000002000000}">
      <text>
        <r>
          <rPr>
            <sz val="8"/>
            <color indexed="81"/>
            <rFont val="Tahoma"/>
            <family val="2"/>
          </rPr>
          <t>This is the throughput rating from SpecInt.  The URL for the throughput rating is: http://www.spec.org/cpu2006/results/rint2006.html</t>
        </r>
        <r>
          <rPr>
            <sz val="8"/>
            <color indexed="81"/>
            <rFont val="Tahoma"/>
            <family val="2"/>
          </rPr>
          <t xml:space="preserve">
We use the throughput rating to determine the number of effective cpus.  When threads are combined into cores or cores into cpu chips, there is some overhead involved as these elements contend for cpu components.  Ideally the throughput rating would be the speed rating * #cpus * cores/cpu * threads/core.  Often it is about half that but varies substantially across cpu models.</t>
        </r>
      </text>
    </comment>
    <comment ref="A7" authorId="0" shapeId="0" xr:uid="{00000000-0006-0000-0200-000003000000}">
      <text>
        <r>
          <rPr>
            <sz val="8"/>
            <color indexed="81"/>
            <rFont val="Tahoma"/>
            <family val="2"/>
          </rPr>
          <t>The number of cpus available to SAM.  In a VM this is the number of vCpus which could be less than the cpus on the physical machine
Note the degradation mentioned above in Throughput from SpecInt when all cores and threads are in use.  Leave blank if no limit is to be imposed.</t>
        </r>
      </text>
    </comment>
    <comment ref="A8" authorId="1" shapeId="0" xr:uid="{00000000-0006-0000-0200-000004000000}">
      <text>
        <r>
          <rPr>
            <b/>
            <sz val="9"/>
            <color indexed="81"/>
            <rFont val="Tahoma"/>
            <family val="2"/>
          </rPr>
          <t xml:space="preserve">In seconds.
</t>
        </r>
      </text>
    </comment>
    <comment ref="A10" authorId="0" shapeId="0" xr:uid="{00000000-0006-0000-0200-000005000000}">
      <text>
        <r>
          <rPr>
            <sz val="8"/>
            <color rgb="FF000000"/>
            <rFont val="Tahoma"/>
            <family val="2"/>
          </rPr>
          <t xml:space="preserve">The total number of IPNetworks in IP servers connected to this SAM or subordinate SAMs
</t>
        </r>
      </text>
    </comment>
    <comment ref="A16" authorId="0" shapeId="0" xr:uid="{00000000-0006-0000-0200-000006000000}">
      <text>
        <r>
          <rPr>
            <b/>
            <sz val="8"/>
            <color indexed="81"/>
            <rFont val="Tahoma"/>
            <family val="2"/>
          </rPr>
          <t>Number of UnitaryComputerSystems.  Routers+Switches+Hosts+Nodes+Bridges+Hubs+etc.</t>
        </r>
      </text>
    </comment>
    <comment ref="A17" authorId="0" shapeId="0" xr:uid="{00000000-0006-0000-0200-000007000000}">
      <text>
        <r>
          <rPr>
            <sz val="8"/>
            <color indexed="81"/>
            <rFont val="Tahoma"/>
            <family val="2"/>
          </rPr>
          <t>Number of Notifications we expect SAM to keep in memory</t>
        </r>
      </text>
    </comment>
    <comment ref="A20" authorId="0" shapeId="0" xr:uid="{00000000-0006-0000-0200-000008000000}">
      <text>
        <r>
          <rPr>
            <sz val="8"/>
            <color indexed="81"/>
            <rFont val="Tahoma"/>
            <family val="2"/>
          </rPr>
          <t>The number of Presentation SAMs connected to this SAM.</t>
        </r>
      </text>
    </comment>
    <comment ref="A21" authorId="0" shapeId="0" xr:uid="{00000000-0006-0000-0200-000009000000}">
      <text>
        <r>
          <rPr>
            <sz val="8"/>
            <color indexed="81"/>
            <rFont val="Tahoma"/>
            <family val="2"/>
          </rPr>
          <t xml:space="preserve">The number of Aggregate SAMs connected to this SAM
.
</t>
        </r>
      </text>
    </comment>
    <comment ref="A22" authorId="0" shapeId="0" xr:uid="{00000000-0006-0000-0200-00000A000000}">
      <text>
        <r>
          <rPr>
            <b/>
            <sz val="8"/>
            <color indexed="81"/>
            <rFont val="Tahoma"/>
            <family val="2"/>
          </rPr>
          <t>Number of OI servers connected to this SAM</t>
        </r>
      </text>
    </comment>
    <comment ref="A23" authorId="0" shapeId="0" xr:uid="{00000000-0006-0000-0200-00000B000000}">
      <text>
        <r>
          <rPr>
            <b/>
            <sz val="8"/>
            <color indexed="81"/>
            <rFont val="Tahoma"/>
            <family val="2"/>
          </rPr>
          <t>Number of IP servers connected to this SAM.</t>
        </r>
        <r>
          <rPr>
            <sz val="8"/>
            <color indexed="81"/>
            <rFont val="Tahoma"/>
            <family val="2"/>
          </rPr>
          <t xml:space="preserve">
</t>
        </r>
      </text>
    </comment>
    <comment ref="A28" authorId="0" shapeId="0" xr:uid="{00000000-0006-0000-0200-00000C000000}">
      <text>
        <r>
          <rPr>
            <sz val="8"/>
            <color indexed="81"/>
            <rFont val="Tahoma"/>
            <family val="2"/>
          </rPr>
          <t>This section contains intermediate results.  It can generally be safely ignored.</t>
        </r>
      </text>
    </comment>
    <comment ref="A30" authorId="0" shapeId="0" xr:uid="{00000000-0006-0000-0200-00000D000000}">
      <text>
        <r>
          <rPr>
            <b/>
            <sz val="8"/>
            <color indexed="81"/>
            <rFont val="Tahoma"/>
            <family val="2"/>
          </rPr>
          <t>Taken from IP Managed Ports and Interfaces above or estimated from Routers, Switches, Tier 2-Hosts, Tier4-NAS.</t>
        </r>
      </text>
    </comment>
    <comment ref="A31" authorId="0" shapeId="0" xr:uid="{00000000-0006-0000-0200-00000E000000}">
      <text>
        <r>
          <rPr>
            <sz val="8"/>
            <color indexed="81"/>
            <rFont val="Tahoma"/>
            <family val="2"/>
          </rPr>
          <t>Taken from either IPNetworks above or estimated from IP Managed Ports and Interfaces</t>
        </r>
      </text>
    </comment>
    <comment ref="A38" authorId="0" shapeId="0" xr:uid="{00000000-0006-0000-0200-00000F000000}">
      <text>
        <r>
          <rPr>
            <b/>
            <sz val="8"/>
            <color indexed="81"/>
            <rFont val="Tahoma"/>
            <family val="2"/>
          </rPr>
          <t xml:space="preserve">Used to scale cpu measures in the data tab.  Smaller is faster.
</t>
        </r>
        <r>
          <rPr>
            <sz val="8"/>
            <color indexed="81"/>
            <rFont val="Tahoma"/>
            <family val="2"/>
          </rPr>
          <t xml:space="preserve">
</t>
        </r>
      </text>
    </comment>
    <comment ref="B49" authorId="0" shapeId="0" xr:uid="{00000000-0006-0000-0200-000010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C49" authorId="0" shapeId="0" xr:uid="{00000000-0006-0000-0200-000011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D49" authorId="0" shapeId="0" xr:uid="{00000000-0006-0000-0200-000012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E49" authorId="0" shapeId="0" xr:uid="{00000000-0006-0000-0200-000013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F49" authorId="0" shapeId="0" xr:uid="{00000000-0006-0000-0200-000014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G49" authorId="0" shapeId="0" xr:uid="{00000000-0006-0000-0200-000015000000}">
      <text>
        <r>
          <rPr>
            <b/>
            <sz val="8"/>
            <color indexed="81"/>
            <rFont val="Tahoma"/>
            <family val="2"/>
          </rPr>
          <t xml:space="preserve">interpolate utilization from min to max based on number of Aggregate SAMs.
if nAggSAMs &gt; 1
   if nAggSAMs &lt; nAggSAMsAtMaxUtilization
      utiliztionForOne+(nAggSAMsAtMaxUtilization-1)/nAggSAMsAtMaxUtilization)*(MaxUtilization-utilzationForOne)
   else
      MaxUtilization
</t>
        </r>
        <r>
          <rPr>
            <sz val="8"/>
            <color indexed="81"/>
            <rFont val="Tahoma"/>
            <family val="2"/>
          </rPr>
          <t xml:space="preserve">
</t>
        </r>
      </text>
    </comment>
    <comment ref="B55" authorId="0" shapeId="0" xr:uid="{00000000-0006-0000-0200-000016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C55" authorId="0" shapeId="0" xr:uid="{00000000-0006-0000-0200-000017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D55" authorId="0" shapeId="0" xr:uid="{00000000-0006-0000-0200-000018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E55" authorId="0" shapeId="0" xr:uid="{00000000-0006-0000-0200-000019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F55" authorId="0" shapeId="0" xr:uid="{00000000-0006-0000-0200-00001A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G55" authorId="0" shapeId="0" xr:uid="{00000000-0006-0000-0200-00001B000000}">
      <text>
        <r>
          <rPr>
            <b/>
            <sz val="8"/>
            <color indexed="81"/>
            <rFont val="Tahoma"/>
            <family val="2"/>
          </rPr>
          <t xml:space="preserve">interpolate utilization from min to max based on number of IP Servers.
if nIPServers &gt; 1
   if nIPServers &lt; nIPServersAtMaxUtilization
      utiliztionForOne+(nIPServersAtMaxUtilization-1)/nIPServersAtMaxUtilization)*(MaxUtilization-utilzationForOne)
   else
      MaxUtilization
</t>
        </r>
        <r>
          <rPr>
            <sz val="8"/>
            <color indexed="81"/>
            <rFont val="Tahoma"/>
            <family val="2"/>
          </rPr>
          <t xml:space="preserve">
</t>
        </r>
      </text>
    </comment>
    <comment ref="B59" authorId="0" shapeId="0" xr:uid="{00000000-0006-0000-0200-00001C000000}">
      <text>
        <r>
          <rPr>
            <b/>
            <sz val="8"/>
            <color indexed="81"/>
            <rFont val="Tahoma"/>
            <family val="2"/>
          </rPr>
          <t>Cost to send to Presentation SAM appears to be negligible</t>
        </r>
        <r>
          <rPr>
            <sz val="8"/>
            <color indexed="81"/>
            <rFont val="Tahoma"/>
            <family val="2"/>
          </rPr>
          <t xml:space="preserve">
</t>
        </r>
      </text>
    </comment>
    <comment ref="C59" authorId="0" shapeId="0" xr:uid="{00000000-0006-0000-0200-00001D000000}">
      <text>
        <r>
          <rPr>
            <b/>
            <sz val="8"/>
            <color indexed="81"/>
            <rFont val="Tahoma"/>
            <family val="2"/>
          </rPr>
          <t>Cost to send to Presentation SAM appears to be negligible</t>
        </r>
        <r>
          <rPr>
            <sz val="8"/>
            <color indexed="81"/>
            <rFont val="Tahoma"/>
            <family val="2"/>
          </rPr>
          <t xml:space="preserve">
</t>
        </r>
      </text>
    </comment>
    <comment ref="D59" authorId="0" shapeId="0" xr:uid="{00000000-0006-0000-0200-00001E000000}">
      <text>
        <r>
          <rPr>
            <b/>
            <sz val="8"/>
            <color indexed="81"/>
            <rFont val="Tahoma"/>
            <family val="2"/>
          </rPr>
          <t>Cost to send to Presentation SAM appears to be negligible</t>
        </r>
        <r>
          <rPr>
            <sz val="8"/>
            <color indexed="81"/>
            <rFont val="Tahoma"/>
            <family val="2"/>
          </rPr>
          <t xml:space="preserve">
</t>
        </r>
      </text>
    </comment>
    <comment ref="E59" authorId="0" shapeId="0" xr:uid="{00000000-0006-0000-0200-00001F000000}">
      <text>
        <r>
          <rPr>
            <b/>
            <sz val="8"/>
            <color indexed="81"/>
            <rFont val="Tahoma"/>
            <family val="2"/>
          </rPr>
          <t>Cost to send to Presentation SAM appears to be negligible</t>
        </r>
        <r>
          <rPr>
            <sz val="8"/>
            <color indexed="81"/>
            <rFont val="Tahoma"/>
            <family val="2"/>
          </rPr>
          <t xml:space="preserve">
</t>
        </r>
      </text>
    </comment>
    <comment ref="F59" authorId="0" shapeId="0" xr:uid="{00000000-0006-0000-0200-000020000000}">
      <text>
        <r>
          <rPr>
            <b/>
            <sz val="8"/>
            <color indexed="81"/>
            <rFont val="Tahoma"/>
            <family val="2"/>
          </rPr>
          <t>Cost to send to Presentation SAM appears to be negligible</t>
        </r>
        <r>
          <rPr>
            <sz val="8"/>
            <color indexed="81"/>
            <rFont val="Tahoma"/>
            <family val="2"/>
          </rPr>
          <t xml:space="preserve">
</t>
        </r>
      </text>
    </comment>
    <comment ref="G59" authorId="0" shapeId="0" xr:uid="{00000000-0006-0000-0200-000021000000}">
      <text>
        <r>
          <rPr>
            <b/>
            <sz val="8"/>
            <color indexed="81"/>
            <rFont val="Tahoma"/>
            <family val="2"/>
          </rPr>
          <t>Cost to send to Presentation SAM appears to be negligible</t>
        </r>
        <r>
          <rPr>
            <sz val="8"/>
            <color indexed="81"/>
            <rFont val="Tahoma"/>
            <family val="2"/>
          </rPr>
          <t xml:space="preserve">
</t>
        </r>
      </text>
    </comment>
    <comment ref="A66" authorId="0" shapeId="0" xr:uid="{00000000-0006-0000-0200-000022000000}">
      <text>
        <r>
          <rPr>
            <b/>
            <sz val="8"/>
            <color indexed="81"/>
            <rFont val="Tahoma"/>
            <family val="2"/>
          </rPr>
          <t>This is the minimum traffic rate across sources/destinations without considering the number of cpus available</t>
        </r>
        <r>
          <rPr>
            <sz val="8"/>
            <color indexed="81"/>
            <rFont val="Tahoma"/>
            <family val="2"/>
          </rPr>
          <t xml:space="preserve">
</t>
        </r>
      </text>
    </comment>
    <comment ref="A82" authorId="0" shapeId="0" xr:uid="{00000000-0006-0000-0200-000023000000}">
      <text>
        <r>
          <rPr>
            <b/>
            <sz val="8"/>
            <color indexed="81"/>
            <rFont val="Tahoma"/>
            <family val="2"/>
          </rPr>
          <t xml:space="preserve">Max utilization/cpu per event.
</t>
        </r>
        <r>
          <rPr>
            <sz val="8"/>
            <color indexed="81"/>
            <rFont val="Tahoma"/>
            <family val="2"/>
          </rPr>
          <t xml:space="preserve">
</t>
        </r>
      </text>
    </comment>
    <comment ref="A83" authorId="1" shapeId="0" xr:uid="{00000000-0006-0000-0200-000024000000}">
      <text>
        <r>
          <rPr>
            <b/>
            <sz val="9"/>
            <color indexed="81"/>
            <rFont val="Tahoma"/>
            <family val="2"/>
          </rPr>
          <t>This formula allows both OI servers and Agg servers to be connected at the same time, but it doesn't really apply in that case.</t>
        </r>
        <r>
          <rPr>
            <sz val="9"/>
            <color indexed="81"/>
            <rFont val="Tahoma"/>
            <family val="2"/>
          </rPr>
          <t xml:space="preserve">
</t>
        </r>
      </text>
    </comment>
    <comment ref="A86" authorId="0" shapeId="0" xr:uid="{00000000-0006-0000-0200-000025000000}">
      <text>
        <r>
          <rPr>
            <sz val="8"/>
            <color indexed="81"/>
            <rFont val="Tahoma"/>
            <family val="2"/>
          </rPr>
          <t>This section is used to compare the actual results observed with the model estimates.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Duane Tiemann</author>
    <author>EMC</author>
  </authors>
  <commentList>
    <comment ref="F8" authorId="0" shapeId="0" xr:uid="{00000000-0006-0000-0300-000001000000}">
      <text>
        <r>
          <rPr>
            <b/>
            <sz val="8"/>
            <color indexed="81"/>
            <rFont val="Tahoma"/>
            <family val="2"/>
          </rPr>
          <t>CPU to send to Presentation SAM appears to be negligible.</t>
        </r>
        <r>
          <rPr>
            <sz val="8"/>
            <color indexed="81"/>
            <rFont val="Tahoma"/>
            <family val="2"/>
          </rPr>
          <t xml:space="preserve">
</t>
        </r>
      </text>
    </comment>
    <comment ref="C11" authorId="0" shapeId="0" xr:uid="{00000000-0006-0000-0300-000002000000}">
      <text>
        <r>
          <rPr>
            <b/>
            <sz val="8"/>
            <color indexed="81"/>
            <rFont val="Tahoma"/>
            <family val="2"/>
          </rPr>
          <t>Estimated</t>
        </r>
        <r>
          <rPr>
            <sz val="8"/>
            <color indexed="81"/>
            <rFont val="Tahoma"/>
            <family val="2"/>
          </rPr>
          <t xml:space="preserve">
</t>
        </r>
      </text>
    </comment>
    <comment ref="G11" authorId="0" shapeId="0" xr:uid="{00000000-0006-0000-0300-000003000000}">
      <text>
        <r>
          <rPr>
            <b/>
            <sz val="8"/>
            <color indexed="81"/>
            <rFont val="Tahoma"/>
            <family val="2"/>
          </rPr>
          <t>Estimated</t>
        </r>
        <r>
          <rPr>
            <sz val="8"/>
            <color indexed="81"/>
            <rFont val="Tahoma"/>
            <family val="2"/>
          </rPr>
          <t xml:space="preserve">
</t>
        </r>
      </text>
    </comment>
    <comment ref="G13" authorId="1" shapeId="0" xr:uid="{00000000-0006-0000-0300-000004000000}">
      <text>
        <r>
          <rPr>
            <b/>
            <sz val="9"/>
            <color indexed="81"/>
            <rFont val="Tahoma"/>
            <family val="2"/>
          </rPr>
          <t>EMC:</t>
        </r>
        <r>
          <rPr>
            <sz val="9"/>
            <color indexed="81"/>
            <rFont val="Tahoma"/>
            <family val="2"/>
          </rPr>
          <t xml:space="preserve">
Estimated
</t>
        </r>
      </text>
    </comment>
    <comment ref="E14" authorId="0" shapeId="0" xr:uid="{00000000-0006-0000-0300-000005000000}">
      <text>
        <r>
          <rPr>
            <b/>
            <sz val="8"/>
            <color indexed="81"/>
            <rFont val="Tahoma"/>
            <family val="2"/>
          </rPr>
          <t xml:space="preserve">I didn't see it taper off up to 16 Aggregate SAMS.  I'll assume it goes on forever.
 </t>
        </r>
        <r>
          <rPr>
            <sz val="8"/>
            <color indexed="81"/>
            <rFont val="Tahoma"/>
            <family val="2"/>
          </rPr>
          <t xml:space="preserve">
</t>
        </r>
      </text>
    </comment>
    <comment ref="C15" authorId="0" shapeId="0" xr:uid="{00000000-0006-0000-0300-000006000000}">
      <text>
        <r>
          <rPr>
            <b/>
            <sz val="8"/>
            <color indexed="81"/>
            <rFont val="Tahoma"/>
            <family val="2"/>
          </rPr>
          <t>Estimated</t>
        </r>
        <r>
          <rPr>
            <sz val="8"/>
            <color indexed="81"/>
            <rFont val="Tahoma"/>
            <family val="2"/>
          </rPr>
          <t xml:space="preserve">
</t>
        </r>
      </text>
    </comment>
    <comment ref="G15" authorId="0" shapeId="0" xr:uid="{00000000-0006-0000-0300-000007000000}">
      <text>
        <r>
          <rPr>
            <b/>
            <sz val="8"/>
            <color indexed="81"/>
            <rFont val="Tahoma"/>
            <family val="2"/>
          </rPr>
          <t>Estimated</t>
        </r>
        <r>
          <rPr>
            <sz val="8"/>
            <color indexed="81"/>
            <rFont val="Tahoma"/>
            <family val="2"/>
          </rPr>
          <t xml:space="preserve">
</t>
        </r>
      </text>
    </comment>
    <comment ref="C17" authorId="0" shapeId="0" xr:uid="{00000000-0006-0000-0300-000008000000}">
      <text>
        <r>
          <rPr>
            <b/>
            <sz val="8"/>
            <color indexed="81"/>
            <rFont val="Tahoma"/>
            <family val="2"/>
          </rPr>
          <t>Estimated</t>
        </r>
        <r>
          <rPr>
            <sz val="8"/>
            <color indexed="81"/>
            <rFont val="Tahoma"/>
            <family val="2"/>
          </rPr>
          <t xml:space="preserve">
</t>
        </r>
      </text>
    </comment>
    <comment ref="E17" authorId="0" shapeId="0" xr:uid="{00000000-0006-0000-0300-000009000000}">
      <text>
        <r>
          <rPr>
            <b/>
            <sz val="8"/>
            <color indexed="81"/>
            <rFont val="Tahoma"/>
            <family val="2"/>
          </rPr>
          <t>Estimated</t>
        </r>
        <r>
          <rPr>
            <sz val="8"/>
            <color indexed="81"/>
            <rFont val="Tahoma"/>
            <family val="2"/>
          </rPr>
          <t xml:space="preserve">
</t>
        </r>
      </text>
    </comment>
    <comment ref="G17" authorId="0" shapeId="0" xr:uid="{00000000-0006-0000-0300-00000A000000}">
      <text>
        <r>
          <rPr>
            <b/>
            <sz val="8"/>
            <color indexed="81"/>
            <rFont val="Tahoma"/>
            <family val="2"/>
          </rPr>
          <t>Estimated</t>
        </r>
        <r>
          <rPr>
            <sz val="8"/>
            <color indexed="81"/>
            <rFont val="Tahoma"/>
            <family val="2"/>
          </rPr>
          <t xml:space="preserve">
</t>
        </r>
      </text>
    </comment>
    <comment ref="C19" authorId="0" shapeId="0" xr:uid="{00000000-0006-0000-0300-00000B000000}">
      <text>
        <r>
          <rPr>
            <b/>
            <sz val="8"/>
            <color indexed="81"/>
            <rFont val="Tahoma"/>
            <family val="2"/>
          </rPr>
          <t>Estimated</t>
        </r>
        <r>
          <rPr>
            <sz val="8"/>
            <color indexed="81"/>
            <rFont val="Tahoma"/>
            <family val="2"/>
          </rPr>
          <t xml:space="preserve">
</t>
        </r>
      </text>
    </comment>
    <comment ref="E19" authorId="0" shapeId="0" xr:uid="{00000000-0006-0000-0300-00000C000000}">
      <text>
        <r>
          <rPr>
            <b/>
            <sz val="8"/>
            <color rgb="FF000000"/>
            <rFont val="Tahoma"/>
            <family val="2"/>
          </rPr>
          <t>Estimated</t>
        </r>
        <r>
          <rPr>
            <sz val="8"/>
            <color rgb="FF000000"/>
            <rFont val="Tahoma"/>
            <family val="2"/>
          </rPr>
          <t xml:space="preserve">
</t>
        </r>
      </text>
    </comment>
    <comment ref="A23" authorId="0" shapeId="0" xr:uid="{00000000-0006-0000-0300-00000D000000}">
      <text>
        <r>
          <rPr>
            <b/>
            <sz val="8"/>
            <color indexed="81"/>
            <rFont val="Tahoma"/>
            <family val="2"/>
          </rPr>
          <t>The percent Elapsed time is under cpu time.</t>
        </r>
        <r>
          <rPr>
            <sz val="8"/>
            <color indexed="81"/>
            <rFont val="Tahoma"/>
            <family val="2"/>
          </rPr>
          <t xml:space="preserve">
</t>
        </r>
      </text>
    </comment>
    <comment ref="C24" authorId="0" shapeId="0" xr:uid="{00000000-0006-0000-0300-00000E000000}">
      <text>
        <r>
          <rPr>
            <b/>
            <sz val="8"/>
            <color indexed="81"/>
            <rFont val="Tahoma"/>
            <family val="2"/>
          </rPr>
          <t>Estimated</t>
        </r>
        <r>
          <rPr>
            <sz val="8"/>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Raji Garikapaty</author>
    <author>EMC</author>
    <author>Raji Srishtu</author>
  </authors>
  <commentList>
    <comment ref="V8" authorId="0" shapeId="0" xr:uid="{00000000-0006-0000-0700-000001000000}">
      <text>
        <r>
          <rPr>
            <b/>
            <sz val="8"/>
            <color indexed="81"/>
            <rFont val="Tahoma"/>
            <family val="2"/>
          </rPr>
          <t>Raji Garikapaty:</t>
        </r>
        <r>
          <rPr>
            <sz val="8"/>
            <color indexed="81"/>
            <rFont val="Tahoma"/>
            <family val="2"/>
          </rPr>
          <t xml:space="preserve">
SAM PID: 8900</t>
        </r>
      </text>
    </comment>
    <comment ref="W8" authorId="0" shapeId="0" xr:uid="{00000000-0006-0000-0700-000002000000}">
      <text>
        <r>
          <rPr>
            <b/>
            <sz val="8"/>
            <color indexed="81"/>
            <rFont val="Tahoma"/>
            <family val="2"/>
          </rPr>
          <t>Raji Garikapaty:</t>
        </r>
        <r>
          <rPr>
            <sz val="8"/>
            <color indexed="81"/>
            <rFont val="Tahoma"/>
            <family val="2"/>
          </rPr>
          <t xml:space="preserve">
SAM PID: 6916</t>
        </r>
      </text>
    </comment>
    <comment ref="Y8" authorId="0" shapeId="0" xr:uid="{00000000-0006-0000-0700-000003000000}">
      <text>
        <r>
          <rPr>
            <b/>
            <sz val="8"/>
            <color indexed="81"/>
            <rFont val="Tahoma"/>
            <family val="2"/>
          </rPr>
          <t>Raji Garikapaty:</t>
        </r>
        <r>
          <rPr>
            <sz val="8"/>
            <color indexed="81"/>
            <rFont val="Tahoma"/>
            <family val="2"/>
          </rPr>
          <t xml:space="preserve">
SAM PID: 10248</t>
        </r>
      </text>
    </comment>
    <comment ref="Z8" authorId="0" shapeId="0" xr:uid="{00000000-0006-0000-0700-000004000000}">
      <text>
        <r>
          <rPr>
            <b/>
            <sz val="8"/>
            <color indexed="81"/>
            <rFont val="Tahoma"/>
            <family val="2"/>
          </rPr>
          <t>Raji Garikapaty:</t>
        </r>
        <r>
          <rPr>
            <sz val="8"/>
            <color indexed="81"/>
            <rFont val="Tahoma"/>
            <family val="2"/>
          </rPr>
          <t xml:space="preserve">
SAM PID: 10248</t>
        </r>
      </text>
    </comment>
    <comment ref="AA8" authorId="1" shapeId="0" xr:uid="{00000000-0006-0000-0700-000005000000}">
      <text>
        <r>
          <rPr>
            <b/>
            <sz val="9"/>
            <color indexed="81"/>
            <rFont val="Tahoma"/>
            <family val="2"/>
          </rPr>
          <t>EMC:</t>
        </r>
        <r>
          <rPr>
            <sz val="9"/>
            <color indexed="81"/>
            <rFont val="Tahoma"/>
            <family val="2"/>
          </rPr>
          <t xml:space="preserve">
SAMPID: 1672</t>
        </r>
      </text>
    </comment>
    <comment ref="AB8" authorId="1" shapeId="0" xr:uid="{00000000-0006-0000-0700-000006000000}">
      <text>
        <r>
          <rPr>
            <b/>
            <sz val="9"/>
            <color indexed="81"/>
            <rFont val="Tahoma"/>
            <family val="2"/>
          </rPr>
          <t>EMC:</t>
        </r>
        <r>
          <rPr>
            <sz val="9"/>
            <color indexed="81"/>
            <rFont val="Tahoma"/>
            <family val="2"/>
          </rPr>
          <t xml:space="preserve">
SAM PID: 2340</t>
        </r>
      </text>
    </comment>
    <comment ref="AC8" authorId="1" shapeId="0" xr:uid="{00000000-0006-0000-0700-000007000000}">
      <text>
        <r>
          <rPr>
            <b/>
            <sz val="9"/>
            <color indexed="81"/>
            <rFont val="Tahoma"/>
            <family val="2"/>
          </rPr>
          <t>EMC:</t>
        </r>
        <r>
          <rPr>
            <sz val="9"/>
            <color indexed="81"/>
            <rFont val="Tahoma"/>
            <family val="2"/>
          </rPr>
          <t xml:space="preserve">
SAM PID: 13196</t>
        </r>
      </text>
    </comment>
    <comment ref="AD8" authorId="1" shapeId="0" xr:uid="{00000000-0006-0000-0700-000008000000}">
      <text>
        <r>
          <rPr>
            <b/>
            <sz val="9"/>
            <color indexed="81"/>
            <rFont val="Tahoma"/>
            <family val="2"/>
          </rPr>
          <t>EMC:</t>
        </r>
        <r>
          <rPr>
            <sz val="9"/>
            <color indexed="81"/>
            <rFont val="Tahoma"/>
            <family val="2"/>
          </rPr>
          <t xml:space="preserve">
SAMPID: 7580
</t>
        </r>
      </text>
    </comment>
    <comment ref="AE8" authorId="1" shapeId="0" xr:uid="{00000000-0006-0000-0700-000009000000}">
      <text>
        <r>
          <rPr>
            <b/>
            <sz val="9"/>
            <color indexed="81"/>
            <rFont val="Tahoma"/>
            <family val="2"/>
          </rPr>
          <t>EMC:</t>
        </r>
        <r>
          <rPr>
            <sz val="9"/>
            <color indexed="81"/>
            <rFont val="Tahoma"/>
            <family val="2"/>
          </rPr>
          <t xml:space="preserve">
SAM PID: 10816
</t>
        </r>
      </text>
    </comment>
    <comment ref="AF8" authorId="1" shapeId="0" xr:uid="{00000000-0006-0000-0700-00000A000000}">
      <text>
        <r>
          <rPr>
            <b/>
            <sz val="9"/>
            <color indexed="81"/>
            <rFont val="Tahoma"/>
            <family val="2"/>
          </rPr>
          <t>EMC:</t>
        </r>
        <r>
          <rPr>
            <sz val="9"/>
            <color indexed="81"/>
            <rFont val="Tahoma"/>
            <family val="2"/>
          </rPr>
          <t xml:space="preserve">
SAM PID: 3856</t>
        </r>
      </text>
    </comment>
    <comment ref="AG8" authorId="1" shapeId="0" xr:uid="{00000000-0006-0000-0700-00000B000000}">
      <text>
        <r>
          <rPr>
            <b/>
            <sz val="9"/>
            <color indexed="81"/>
            <rFont val="Tahoma"/>
            <family val="2"/>
          </rPr>
          <t>EMC:</t>
        </r>
        <r>
          <rPr>
            <sz val="9"/>
            <color indexed="81"/>
            <rFont val="Tahoma"/>
            <family val="2"/>
          </rPr>
          <t xml:space="preserve">
SAM PID: 8276</t>
        </r>
      </text>
    </comment>
    <comment ref="AH8" authorId="1" shapeId="0" xr:uid="{00000000-0006-0000-0700-00000C000000}">
      <text>
        <r>
          <rPr>
            <b/>
            <sz val="9"/>
            <color indexed="81"/>
            <rFont val="Tahoma"/>
            <family val="2"/>
          </rPr>
          <t>EMC:</t>
        </r>
        <r>
          <rPr>
            <sz val="9"/>
            <color indexed="81"/>
            <rFont val="Tahoma"/>
            <family val="2"/>
          </rPr>
          <t xml:space="preserve">
SAMPID: 1208</t>
        </r>
      </text>
    </comment>
    <comment ref="AI8" authorId="1" shapeId="0" xr:uid="{00000000-0006-0000-0700-00000D000000}">
      <text>
        <r>
          <rPr>
            <b/>
            <sz val="9"/>
            <color indexed="81"/>
            <rFont val="Tahoma"/>
            <family val="2"/>
          </rPr>
          <t>EMC:</t>
        </r>
        <r>
          <rPr>
            <sz val="9"/>
            <color indexed="81"/>
            <rFont val="Tahoma"/>
            <family val="2"/>
          </rPr>
          <t xml:space="preserve">
SAM PID: 7676</t>
        </r>
      </text>
    </comment>
    <comment ref="V9" authorId="0" shapeId="0" xr:uid="{00000000-0006-0000-0700-00000E000000}">
      <text>
        <r>
          <rPr>
            <b/>
            <sz val="8"/>
            <color indexed="81"/>
            <rFont val="Tahoma"/>
            <family val="2"/>
          </rPr>
          <t>Raji Garikapaty:</t>
        </r>
        <r>
          <rPr>
            <sz val="8"/>
            <color indexed="81"/>
            <rFont val="Tahoma"/>
            <family val="2"/>
          </rPr>
          <t xml:space="preserve">
Parent SAM PID: 3456</t>
        </r>
      </text>
    </comment>
    <comment ref="W9" authorId="0" shapeId="0" xr:uid="{00000000-0006-0000-0700-00000F000000}">
      <text>
        <r>
          <rPr>
            <b/>
            <sz val="8"/>
            <color indexed="81"/>
            <rFont val="Tahoma"/>
            <family val="2"/>
          </rPr>
          <t>Raji Garikapaty:</t>
        </r>
        <r>
          <rPr>
            <sz val="8"/>
            <color indexed="81"/>
            <rFont val="Tahoma"/>
            <family val="2"/>
          </rPr>
          <t xml:space="preserve">
Parent SAM PID:8708</t>
        </r>
      </text>
    </comment>
    <comment ref="Y9" authorId="0" shapeId="0" xr:uid="{00000000-0006-0000-0700-000010000000}">
      <text>
        <r>
          <rPr>
            <b/>
            <sz val="8"/>
            <color indexed="81"/>
            <rFont val="Tahoma"/>
            <family val="2"/>
          </rPr>
          <t>Raji Garikapaty:</t>
        </r>
        <r>
          <rPr>
            <sz val="8"/>
            <color indexed="81"/>
            <rFont val="Tahoma"/>
            <family val="2"/>
          </rPr>
          <t xml:space="preserve">
Parent SAM PID: 9212</t>
        </r>
      </text>
    </comment>
    <comment ref="Z9" authorId="0" shapeId="0" xr:uid="{00000000-0006-0000-0700-000011000000}">
      <text>
        <r>
          <rPr>
            <b/>
            <sz val="8"/>
            <color indexed="81"/>
            <rFont val="Tahoma"/>
            <family val="2"/>
          </rPr>
          <t>Raji Garikapaty:</t>
        </r>
        <r>
          <rPr>
            <sz val="8"/>
            <color indexed="81"/>
            <rFont val="Tahoma"/>
            <family val="2"/>
          </rPr>
          <t xml:space="preserve">
Parent SAM PID: 9212</t>
        </r>
      </text>
    </comment>
    <comment ref="AA9" authorId="1" shapeId="0" xr:uid="{00000000-0006-0000-0700-000012000000}">
      <text>
        <r>
          <rPr>
            <b/>
            <sz val="9"/>
            <color indexed="81"/>
            <rFont val="Tahoma"/>
            <family val="2"/>
          </rPr>
          <t>EMC:</t>
        </r>
        <r>
          <rPr>
            <sz val="9"/>
            <color indexed="81"/>
            <rFont val="Tahoma"/>
            <family val="2"/>
          </rPr>
          <t xml:space="preserve">
Parent SAM PID: 10792</t>
        </r>
      </text>
    </comment>
    <comment ref="AB9" authorId="1" shapeId="0" xr:uid="{00000000-0006-0000-0700-000013000000}">
      <text>
        <r>
          <rPr>
            <b/>
            <sz val="9"/>
            <color indexed="81"/>
            <rFont val="Tahoma"/>
            <family val="2"/>
          </rPr>
          <t>EMC:</t>
        </r>
        <r>
          <rPr>
            <sz val="9"/>
            <color indexed="81"/>
            <rFont val="Tahoma"/>
            <family val="2"/>
          </rPr>
          <t xml:space="preserve">
Parent SAMPID: 5204</t>
        </r>
      </text>
    </comment>
    <comment ref="AC9" authorId="1" shapeId="0" xr:uid="{00000000-0006-0000-0700-000014000000}">
      <text>
        <r>
          <rPr>
            <b/>
            <sz val="9"/>
            <color indexed="81"/>
            <rFont val="Tahoma"/>
            <family val="2"/>
          </rPr>
          <t>EMC:</t>
        </r>
        <r>
          <rPr>
            <sz val="9"/>
            <color indexed="81"/>
            <rFont val="Tahoma"/>
            <family val="2"/>
          </rPr>
          <t xml:space="preserve">
Parent SAMPID:6624</t>
        </r>
      </text>
    </comment>
    <comment ref="AD9" authorId="1" shapeId="0" xr:uid="{00000000-0006-0000-0700-000015000000}">
      <text>
        <r>
          <rPr>
            <b/>
            <sz val="9"/>
            <color indexed="81"/>
            <rFont val="Tahoma"/>
            <family val="2"/>
          </rPr>
          <t>EMC:</t>
        </r>
        <r>
          <rPr>
            <sz val="9"/>
            <color indexed="81"/>
            <rFont val="Tahoma"/>
            <family val="2"/>
          </rPr>
          <t xml:space="preserve">
Parent SAMPID: 3756</t>
        </r>
      </text>
    </comment>
    <comment ref="AE9" authorId="1" shapeId="0" xr:uid="{00000000-0006-0000-0700-000016000000}">
      <text>
        <r>
          <rPr>
            <b/>
            <sz val="9"/>
            <color indexed="81"/>
            <rFont val="Tahoma"/>
            <family val="2"/>
          </rPr>
          <t>EMC:</t>
        </r>
        <r>
          <rPr>
            <sz val="9"/>
            <color indexed="81"/>
            <rFont val="Tahoma"/>
            <family val="2"/>
          </rPr>
          <t xml:space="preserve">
Parent SAMPID: 10060</t>
        </r>
      </text>
    </comment>
    <comment ref="AF9" authorId="1" shapeId="0" xr:uid="{00000000-0006-0000-0700-000017000000}">
      <text>
        <r>
          <rPr>
            <b/>
            <sz val="9"/>
            <color indexed="81"/>
            <rFont val="Tahoma"/>
            <family val="2"/>
          </rPr>
          <t>EMC:</t>
        </r>
        <r>
          <rPr>
            <sz val="9"/>
            <color indexed="81"/>
            <rFont val="Tahoma"/>
            <family val="2"/>
          </rPr>
          <t xml:space="preserve">
Parent SAMPID: 12568</t>
        </r>
      </text>
    </comment>
    <comment ref="AG9" authorId="1" shapeId="0" xr:uid="{00000000-0006-0000-0700-000018000000}">
      <text>
        <r>
          <rPr>
            <b/>
            <sz val="9"/>
            <color indexed="81"/>
            <rFont val="Tahoma"/>
            <family val="2"/>
          </rPr>
          <t>EMC:</t>
        </r>
        <r>
          <rPr>
            <sz val="9"/>
            <color indexed="81"/>
            <rFont val="Tahoma"/>
            <family val="2"/>
          </rPr>
          <t xml:space="preserve">
Parent SAMPID: 10124</t>
        </r>
      </text>
    </comment>
    <comment ref="AH9" authorId="1" shapeId="0" xr:uid="{00000000-0006-0000-0700-000019000000}">
      <text>
        <r>
          <rPr>
            <b/>
            <sz val="9"/>
            <color indexed="81"/>
            <rFont val="Tahoma"/>
            <family val="2"/>
          </rPr>
          <t>EMC:</t>
        </r>
        <r>
          <rPr>
            <sz val="9"/>
            <color indexed="81"/>
            <rFont val="Tahoma"/>
            <family val="2"/>
          </rPr>
          <t xml:space="preserve">
Parent SAMPID: 5500</t>
        </r>
      </text>
    </comment>
    <comment ref="AI9" authorId="1" shapeId="0" xr:uid="{00000000-0006-0000-0700-00001A000000}">
      <text>
        <r>
          <rPr>
            <b/>
            <sz val="9"/>
            <color indexed="81"/>
            <rFont val="Tahoma"/>
            <family val="2"/>
          </rPr>
          <t>EMC
Parent SAMPID: 2176</t>
        </r>
      </text>
    </comment>
    <comment ref="B10" authorId="2" shapeId="0" xr:uid="{00000000-0006-0000-0700-00001B000000}">
      <text>
        <r>
          <rPr>
            <b/>
            <sz val="8"/>
            <color indexed="81"/>
            <rFont val="Tahoma"/>
            <family val="2"/>
          </rPr>
          <t>Raji Srishtu:</t>
        </r>
        <r>
          <rPr>
            <sz val="8"/>
            <color indexed="81"/>
            <rFont val="Tahoma"/>
            <family val="2"/>
          </rPr>
          <t xml:space="preserve">
Standard for the RPS used. Same for all runs.</t>
        </r>
      </text>
    </comment>
    <comment ref="B13" authorId="0" shapeId="0" xr:uid="{00000000-0006-0000-0700-00001C000000}">
      <text>
        <r>
          <rPr>
            <b/>
            <sz val="8"/>
            <color indexed="81"/>
            <rFont val="Tahoma"/>
            <family val="2"/>
          </rPr>
          <t>Raji Garikapaty:</t>
        </r>
        <r>
          <rPr>
            <sz val="8"/>
            <color indexed="81"/>
            <rFont val="Tahoma"/>
            <family val="2"/>
          </rPr>
          <t xml:space="preserve">
RSS value from process stats after SAM server start up and before CPU sees major increase.
</t>
        </r>
      </text>
    </comment>
    <comment ref="N13" authorId="1" shapeId="0" xr:uid="{00000000-0006-0000-0700-00001D000000}">
      <text>
        <r>
          <rPr>
            <b/>
            <sz val="9"/>
            <color indexed="81"/>
            <rFont val="Tahoma"/>
            <family val="2"/>
          </rPr>
          <t>EMC:</t>
        </r>
        <r>
          <rPr>
            <sz val="9"/>
            <color indexed="81"/>
            <rFont val="Tahoma"/>
            <family val="2"/>
          </rPr>
          <t xml:space="preserve">
orig-148812
</t>
        </r>
      </text>
    </comment>
    <comment ref="X13" authorId="1" shapeId="0" xr:uid="{00000000-0006-0000-0700-00001E000000}">
      <text>
        <r>
          <rPr>
            <b/>
            <sz val="9"/>
            <color indexed="81"/>
            <rFont val="Tahoma"/>
            <family val="2"/>
          </rPr>
          <t>EMC:</t>
        </r>
        <r>
          <rPr>
            <sz val="9"/>
            <color indexed="81"/>
            <rFont val="Tahoma"/>
            <family val="2"/>
          </rPr>
          <t xml:space="preserve">
166388</t>
        </r>
      </text>
    </comment>
    <comment ref="AA13" authorId="1" shapeId="0" xr:uid="{00000000-0006-0000-0700-00001F000000}">
      <text>
        <r>
          <rPr>
            <b/>
            <sz val="9"/>
            <color indexed="81"/>
            <rFont val="Tahoma"/>
            <family val="2"/>
          </rPr>
          <t>EMC:</t>
        </r>
        <r>
          <rPr>
            <sz val="9"/>
            <color indexed="81"/>
            <rFont val="Tahoma"/>
            <family val="2"/>
          </rPr>
          <t xml:space="preserve">
146764
</t>
        </r>
      </text>
    </comment>
    <comment ref="AC13" authorId="1" shapeId="0" xr:uid="{00000000-0006-0000-0700-000020000000}">
      <text>
        <r>
          <rPr>
            <b/>
            <sz val="9"/>
            <color indexed="81"/>
            <rFont val="Tahoma"/>
            <family val="2"/>
          </rPr>
          <t>EMC:</t>
        </r>
        <r>
          <rPr>
            <sz val="9"/>
            <color indexed="81"/>
            <rFont val="Tahoma"/>
            <family val="2"/>
          </rPr>
          <t xml:space="preserve">
170744</t>
        </r>
      </text>
    </comment>
    <comment ref="B14" authorId="0" shapeId="0" xr:uid="{00000000-0006-0000-0700-000021000000}">
      <text>
        <r>
          <rPr>
            <b/>
            <sz val="8"/>
            <color indexed="81"/>
            <rFont val="Tahoma"/>
            <family val="2"/>
          </rPr>
          <t>Raji Garikapaty:</t>
        </r>
        <r>
          <rPr>
            <sz val="8"/>
            <color indexed="81"/>
            <rFont val="Tahoma"/>
            <family val="2"/>
          </rPr>
          <t xml:space="preserve">
Maximum RSS value of SAM from ProcessStats during entire run.
</t>
        </r>
      </text>
    </comment>
    <comment ref="B15" authorId="2" shapeId="0" xr:uid="{00000000-0006-0000-0700-000022000000}">
      <text>
        <r>
          <rPr>
            <b/>
            <sz val="8"/>
            <color indexed="81"/>
            <rFont val="Tahoma"/>
            <family val="2"/>
          </rPr>
          <t>Raji Srishtu:</t>
        </r>
        <r>
          <rPr>
            <sz val="8"/>
            <color indexed="81"/>
            <rFont val="Tahoma"/>
            <family val="2"/>
          </rPr>
          <t xml:space="preserve">
Get time range for Event down correlation from the html file and then from the txt file, pick the stable number before event down correlation starts based on time seen and the stable RSS number after event down correlation</t>
        </r>
      </text>
    </comment>
    <comment ref="AA25" authorId="1" shapeId="0" xr:uid="{00000000-0006-0000-0700-000023000000}">
      <text>
        <r>
          <rPr>
            <b/>
            <sz val="9"/>
            <color indexed="81"/>
            <rFont val="Tahoma"/>
            <family val="2"/>
          </rPr>
          <t>EMC:</t>
        </r>
        <r>
          <rPr>
            <sz val="9"/>
            <color indexed="81"/>
            <rFont val="Tahoma"/>
            <family val="2"/>
          </rPr>
          <t xml:space="preserve">
146176</t>
        </r>
      </text>
    </comment>
    <comment ref="B27" authorId="2" shapeId="0" xr:uid="{00000000-0006-0000-0700-000024000000}">
      <text>
        <r>
          <rPr>
            <b/>
            <sz val="8"/>
            <color indexed="81"/>
            <rFont val="Tahoma"/>
            <family val="2"/>
          </rPr>
          <t>Raji Srishtu:</t>
        </r>
        <r>
          <rPr>
            <sz val="8"/>
            <color indexed="81"/>
            <rFont val="Tahoma"/>
            <family val="2"/>
          </rPr>
          <t xml:space="preserve">
Get time range for Event down correlation from the html file and then from the txt file, pick the stable number before event down correlation starts based on time seen and the stable RSS number after event down correlation</t>
        </r>
      </text>
    </comment>
    <comment ref="O31" authorId="1" shapeId="0" xr:uid="{00000000-0006-0000-0700-000025000000}">
      <text>
        <r>
          <rPr>
            <b/>
            <sz val="9"/>
            <color indexed="81"/>
            <rFont val="Tahoma"/>
            <family val="2"/>
          </rPr>
          <t>EMC:</t>
        </r>
        <r>
          <rPr>
            <sz val="9"/>
            <color indexed="81"/>
            <rFont val="Tahoma"/>
            <family val="2"/>
          </rPr>
          <t xml:space="preserve">
108
</t>
        </r>
      </text>
    </comment>
    <comment ref="B35" authorId="0" shapeId="0" xr:uid="{00000000-0006-0000-0700-000026000000}">
      <text>
        <r>
          <rPr>
            <b/>
            <sz val="8"/>
            <color indexed="81"/>
            <rFont val="Tahoma"/>
            <family val="2"/>
          </rPr>
          <t>Raji Garikapaty:</t>
        </r>
        <r>
          <rPr>
            <sz val="8"/>
            <color indexed="81"/>
            <rFont val="Tahoma"/>
            <family val="2"/>
          </rPr>
          <t xml:space="preserve">
Calculated by comparing different SAM runs</t>
        </r>
      </text>
    </comment>
    <comment ref="B36" authorId="0" shapeId="0" xr:uid="{00000000-0006-0000-0700-000027000000}">
      <text>
        <r>
          <rPr>
            <b/>
            <sz val="8"/>
            <color indexed="81"/>
            <rFont val="Tahoma"/>
            <family val="2"/>
          </rPr>
          <t xml:space="preserve">Raji Garikapaty:
</t>
        </r>
        <r>
          <rPr>
            <sz val="8"/>
            <color indexed="81"/>
            <rFont val="Tahoma"/>
            <family val="2"/>
          </rPr>
          <t>Value is obtained from IPNetwork</t>
        </r>
      </text>
    </comment>
    <comment ref="B57" authorId="1" shapeId="0" xr:uid="{00000000-0006-0000-0700-000028000000}">
      <text>
        <r>
          <rPr>
            <b/>
            <sz val="9"/>
            <color indexed="81"/>
            <rFont val="Tahoma"/>
            <family val="2"/>
          </rPr>
          <t>From ProcessStats/localhost…txt before any significant cpu burst.</t>
        </r>
      </text>
    </comment>
    <comment ref="B58" authorId="1" shapeId="0" xr:uid="{00000000-0006-0000-0700-000029000000}">
      <text>
        <r>
          <rPr>
            <b/>
            <sz val="9"/>
            <color indexed="81"/>
            <rFont val="Tahoma"/>
            <family val="2"/>
          </rPr>
          <t>ProcessStats/...txt stable value after last cpu burst.</t>
        </r>
      </text>
    </comment>
    <comment ref="B71" authorId="0" shapeId="0" xr:uid="{00000000-0006-0000-0700-00002A000000}">
      <text>
        <r>
          <rPr>
            <b/>
            <sz val="8"/>
            <color indexed="81"/>
            <rFont val="Tahoma"/>
            <family val="2"/>
          </rPr>
          <t>Raji Garikapaty:</t>
        </r>
        <r>
          <rPr>
            <sz val="8"/>
            <color indexed="81"/>
            <rFont val="Tahoma"/>
            <family val="2"/>
          </rPr>
          <t xml:space="preserve">
Select value from run with 1AM in this Row</t>
        </r>
      </text>
    </comment>
    <comment ref="B72" authorId="0" shapeId="0" xr:uid="{00000000-0006-0000-0700-00002B000000}">
      <text>
        <r>
          <rPr>
            <b/>
            <sz val="8"/>
            <color indexed="81"/>
            <rFont val="Tahoma"/>
            <family val="2"/>
          </rPr>
          <t>Raji Garikapaty:</t>
        </r>
        <r>
          <rPr>
            <sz val="8"/>
            <color indexed="81"/>
            <rFont val="Tahoma"/>
            <family val="2"/>
          </rPr>
          <t xml:space="preserve">
Select Run with 1 Agg. SAM for data in this row.</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EMC</author>
  </authors>
  <commentList>
    <comment ref="E7" authorId="0" shapeId="0" xr:uid="{00000000-0006-0000-0800-000001000000}">
      <text>
        <r>
          <rPr>
            <b/>
            <sz val="9"/>
            <color indexed="81"/>
            <rFont val="Tahoma"/>
            <family val="2"/>
          </rPr>
          <t>EMC:</t>
        </r>
        <r>
          <rPr>
            <sz val="9"/>
            <color indexed="81"/>
            <rFont val="Tahoma"/>
            <family val="2"/>
          </rPr>
          <t xml:space="preserve">
orig-148812
</t>
        </r>
      </text>
    </comment>
    <comment ref="E63" authorId="0" shapeId="0" xr:uid="{00000000-0006-0000-0800-000002000000}">
      <text>
        <r>
          <rPr>
            <b/>
            <sz val="9"/>
            <color indexed="81"/>
            <rFont val="Tahoma"/>
            <family val="2"/>
          </rPr>
          <t>EMC:</t>
        </r>
        <r>
          <rPr>
            <sz val="9"/>
            <color indexed="81"/>
            <rFont val="Tahoma"/>
            <family val="2"/>
          </rPr>
          <t xml:space="preserve">
146764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Regression_57.extract.linux" type="6" refreshedVersion="2" background="1" saveData="1">
    <textPr sourceFile="C:\sasx\Regression_57.extract.linux.tsv">
      <textFields count="9">
        <textField/>
        <textField/>
        <textField/>
        <textField/>
        <textField/>
        <textField/>
        <textField/>
        <textField/>
        <textField/>
      </textFields>
    </textPr>
  </connection>
  <connection id="2" xr16:uid="{00000000-0015-0000-FFFF-FFFF01000000}" name="RegressionResults_build_46ttp16.extract" type="6" refreshedVersion="2" background="1" saveData="1">
    <textPr sourceFile="C:\sasx\RegressionResults_build_46ttp16.extract.tsv">
      <textFields count="9">
        <textField/>
        <textField/>
        <textField/>
        <textField/>
        <textField/>
        <textField/>
        <textField/>
        <textField/>
        <textField/>
      </textFields>
    </textPr>
  </connection>
</connections>
</file>

<file path=xl/sharedStrings.xml><?xml version="1.0" encoding="utf-8"?>
<sst xmlns="http://schemas.openxmlformats.org/spreadsheetml/2006/main" count="628" uniqueCount="430">
  <si>
    <t>Speed from SpecInt</t>
  </si>
  <si>
    <t>Throughput from SpecInt</t>
  </si>
  <si>
    <t>1 sec</t>
  </si>
  <si>
    <t>Cpu limit</t>
  </si>
  <si>
    <t>Retained Notifications</t>
  </si>
  <si>
    <t>IPNetworks</t>
  </si>
  <si>
    <t>Aggregate SAMs</t>
  </si>
  <si>
    <t>Presentation SAMs</t>
  </si>
  <si>
    <t>Max Down Event Rate</t>
  </si>
  <si>
    <t>Sync time</t>
  </si>
  <si>
    <t>Predicted Memory</t>
  </si>
  <si>
    <t>Actual Memory</t>
  </si>
  <si>
    <t>Predicted Sync time</t>
  </si>
  <si>
    <t>Actual Sync time</t>
  </si>
  <si>
    <t>Per IPNetwork</t>
  </si>
  <si>
    <t>Fixed</t>
  </si>
  <si>
    <t>Effective CPUs</t>
  </si>
  <si>
    <t>Fixed Memory</t>
  </si>
  <si>
    <t>IPNetwork Memory</t>
  </si>
  <si>
    <t>Notification Memory</t>
  </si>
  <si>
    <t>Total Memory</t>
  </si>
  <si>
    <t>Per Retained Notification</t>
  </si>
  <si>
    <t>SpecInt Speed</t>
  </si>
  <si>
    <t>SpecInt Throughput</t>
  </si>
  <si>
    <t>Percent difference</t>
  </si>
  <si>
    <t>UCS</t>
  </si>
  <si>
    <t>Per UCS</t>
  </si>
  <si>
    <t>TopoSync Compression Percent</t>
  </si>
  <si>
    <t>Total CPU per down event for consoles</t>
  </si>
  <si>
    <t>CPU utilization for console traffic</t>
  </si>
  <si>
    <t xml:space="preserve">Total console delivery rate </t>
  </si>
  <si>
    <t>CPU per console per down event</t>
  </si>
  <si>
    <t>Delivery rate per individual console</t>
  </si>
  <si>
    <t xml:space="preserve">CPU speed ratio </t>
  </si>
  <si>
    <t>IP</t>
  </si>
  <si>
    <t>Aggregate SAM</t>
  </si>
  <si>
    <t>Presentation SAM</t>
  </si>
  <si>
    <t>Console</t>
  </si>
  <si>
    <t>Source</t>
  </si>
  <si>
    <t>Target</t>
  </si>
  <si>
    <t>OI</t>
  </si>
  <si>
    <t>CPU down event utilization for 1 Source/Destination</t>
  </si>
  <si>
    <t># Source/Destination at Max utilization for down events</t>
  </si>
  <si>
    <t>Max CPU utilization for up events</t>
  </si>
  <si>
    <t>Consoles:</t>
  </si>
  <si>
    <t>Aggregate SAMs:</t>
  </si>
  <si>
    <t>IP Servers:</t>
  </si>
  <si>
    <t>Max down event CPU utilization for Source/Destination</t>
  </si>
  <si>
    <t>Total raw CPU utilization</t>
  </si>
  <si>
    <t>Total CPU utilization adjusted for number of CPUs</t>
  </si>
  <si>
    <t>Traffic rate adjusted for available CPU</t>
  </si>
  <si>
    <t xml:space="preserve">Routers </t>
  </si>
  <si>
    <t>Switches</t>
  </si>
  <si>
    <t>Tier 2 - Hosts</t>
  </si>
  <si>
    <t>Tier 4 - NAS</t>
  </si>
  <si>
    <t>Cpu speed from SpecInt</t>
  </si>
  <si>
    <t>Total Years to Project Growth</t>
  </si>
  <si>
    <t>Managed Ports (6% + # Hosts)</t>
  </si>
  <si>
    <t>Growth per year</t>
  </si>
  <si>
    <t>Managed IF (90%)</t>
  </si>
  <si>
    <t>OS</t>
  </si>
  <si>
    <t xml:space="preserve">   Routers</t>
  </si>
  <si>
    <t xml:space="preserve">   Switches</t>
  </si>
  <si>
    <t xml:space="preserve">   Tier 2 - Hosts</t>
  </si>
  <si>
    <t xml:space="preserve">   Tier 4 - NAS</t>
  </si>
  <si>
    <t>IP Managed Ports and Interfaces</t>
  </si>
  <si>
    <t>IPNetworks after growth</t>
  </si>
  <si>
    <t>Total including growth</t>
  </si>
  <si>
    <t>Number of IP servers</t>
  </si>
  <si>
    <t>Retained notifications</t>
  </si>
  <si>
    <t>Memory for each (MB)</t>
  </si>
  <si>
    <t>Total memory (MB)</t>
  </si>
  <si>
    <t>Aggregation SAMs increase with the number of underlying IP servers and their topology sizes.</t>
  </si>
  <si>
    <t>Latency between SAM and IP will increase topology sync time with individual IP servers, provoking a warning, but it will not affect the aggregate rate that SAM can absorb syncs.  With larger latencies, IP servers should be smaller to limit sync and notification times.</t>
  </si>
  <si>
    <t>The SAM topology recommendation is based on the number of consoles, the number of IP servers, the topology size, and latency to the IP servers, consoles, and other SAMs.</t>
  </si>
  <si>
    <t>Average latency between SAMs and IPs</t>
  </si>
  <si>
    <t>The constraints are 
the maximum topology sync time if all the IP servers sync at once
the worst case time to forward all notifications from underlying IP servers to consoles. 
These would likely occur at SAM startup or reconnect.</t>
  </si>
  <si>
    <t>Topology sync time is affected by bandwidth, latency, and SAM cpu.   The impact of latency is to extend sync time.  In order for sync times to remain within constraints, smaller IP servers may be needed.</t>
  </si>
  <si>
    <t>Presentation SAMs increase with the need for consoles.  The impact of latency is to extend notification delivery time.  With a higher latency, the size of the network we can support (with the expected number of notifications) becomes smaller.</t>
  </si>
  <si>
    <t>Expected number of active notifications per IPNetwork</t>
  </si>
  <si>
    <t>Intermediate Results:</t>
  </si>
  <si>
    <t>Elements connected to this SAM:</t>
  </si>
  <si>
    <t xml:space="preserve">  Consoles</t>
  </si>
  <si>
    <t xml:space="preserve">  Presentation SAMs</t>
  </si>
  <si>
    <t xml:space="preserve">  Aggregate SAMs</t>
  </si>
  <si>
    <t xml:space="preserve">  IP servers</t>
  </si>
  <si>
    <t xml:space="preserve">  Extra CPU per down event from Aggregate SAMs per Aggregate SAM</t>
  </si>
  <si>
    <t xml:space="preserve">  Total Cpu per down event from Aggregate SAMs</t>
  </si>
  <si>
    <t xml:space="preserve">  CPU per down event from Aggregate SAM</t>
  </si>
  <si>
    <t xml:space="preserve">  Cpu utilization for Aggregate SAM traffic</t>
  </si>
  <si>
    <t xml:space="preserve">  Aggregate SAM traffic rate</t>
  </si>
  <si>
    <t xml:space="preserve">  CPU per down event from IP</t>
  </si>
  <si>
    <t xml:space="preserve">  Extra CPU per down event from IP</t>
  </si>
  <si>
    <t xml:space="preserve">  Total CPU per down event from IP</t>
  </si>
  <si>
    <t xml:space="preserve">  CPU utilization for IP down event traffic</t>
  </si>
  <si>
    <t xml:space="preserve">  IP traffic rate</t>
  </si>
  <si>
    <t xml:space="preserve">  CPU per down event per Presentation SAM</t>
  </si>
  <si>
    <t xml:space="preserve">  Extra CPU per down event per Presentation SAM</t>
  </si>
  <si>
    <t xml:space="preserve">  Total CPU per down event to Presentation SAMs</t>
  </si>
  <si>
    <t xml:space="preserve">  CPU utilization for Presentation SAM traffic</t>
  </si>
  <si>
    <t xml:space="preserve">  Presentation SAM traffic rate</t>
  </si>
  <si>
    <t>Topology Name</t>
  </si>
  <si>
    <t>Presentation SAMs:  (cost is negligible)</t>
  </si>
  <si>
    <t>Average latency to IP Servers connected to this SAM</t>
  </si>
  <si>
    <t>IPNetworks
(IP Managed Ports and Interfaces is used to estimate IPNetworks if IPNetworks is not supplied.)</t>
  </si>
  <si>
    <t xml:space="preserve">   IP Managed Ports and Interfaces
(Routers, Switches, Tier 2 Hosts, &amp; Tier 4 hosts are used to estimate IPNetworks if both IPNetworks and IP Managed Ports and Interfaces are not supplied.)</t>
  </si>
  <si>
    <t>Number of attributes retrived per IP notification</t>
  </si>
  <si>
    <t xml:space="preserve">  IP traffic rate constrained by SAM CPU</t>
  </si>
  <si>
    <t xml:space="preserve">  IP traffic rate constrained by latency</t>
  </si>
  <si>
    <t>Minimum CPU constrained traffic rate or 999999999</t>
  </si>
  <si>
    <t xml:space="preserve">Minimum CPU constrained traffic rate </t>
  </si>
  <si>
    <t>CPU consumption at maximum traffic rate</t>
  </si>
  <si>
    <t>Memory (RSS) (MB)</t>
  </si>
  <si>
    <t>Traffic rate from CPU and latency</t>
  </si>
  <si>
    <t xml:space="preserve">  Latency to consoles and SAM servers doesn't appear to matter.  We advertise an 8M window.  At .300s latency that allows a transfer rate of around 223MBits/Sec.</t>
  </si>
  <si>
    <t>Growth</t>
  </si>
  <si>
    <t>Expected outstanding notifications</t>
  </si>
  <si>
    <t>Outstanding notifications (leave blank for estimate)</t>
  </si>
  <si>
    <t>Managed Interfaces (leave blank for estimate)</t>
  </si>
  <si>
    <t>Managed Ports (leave blank for estimate)</t>
  </si>
  <si>
    <t>Max CPU utilization for down traps</t>
  </si>
  <si>
    <t xml:space="preserve">  OI servers</t>
  </si>
  <si>
    <t xml:space="preserve">  BIM servers</t>
  </si>
  <si>
    <t>Max CPU utilization for single OI</t>
  </si>
  <si>
    <t>CPU per trap</t>
  </si>
  <si>
    <t>Number of trap sources</t>
  </si>
  <si>
    <t>Max CPU Utilization for traps</t>
  </si>
  <si>
    <t>Max trap rate</t>
  </si>
  <si>
    <t>Managed Ports and Interfaces per IPNetwork</t>
  </si>
  <si>
    <t>Expected number of active notifications per Managed Port or Interface</t>
  </si>
  <si>
    <t>Total UCSs</t>
  </si>
  <si>
    <t>Aggregate reconnect notification CPU time (secs)</t>
  </si>
  <si>
    <t>CPU Speed Ratio</t>
  </si>
  <si>
    <t>Aggregate reconnect notification latency time (secs)</t>
  </si>
  <si>
    <t>Aggregate Toposync latency time (secs)</t>
  </si>
  <si>
    <t>Aggregate Toposync cpu time (secs)</t>
  </si>
  <si>
    <t>Agg SAMs required to do TopoSyncCpu</t>
  </si>
  <si>
    <t>Max CPU utilization for Toposyncs</t>
  </si>
  <si>
    <t>MaxReconnectTimeInSeconds</t>
  </si>
  <si>
    <t>Agg SAMs required to do notification CPU</t>
  </si>
  <si>
    <t>Toposync CPU per IP server</t>
  </si>
  <si>
    <t>Notification CPU per IP server</t>
  </si>
  <si>
    <t>Reconnect CPU time per IP server</t>
  </si>
  <si>
    <t>Toposync latency per IP server</t>
  </si>
  <si>
    <t>Reconnect latency per IP server</t>
  </si>
  <si>
    <t>Notification latency per IP server</t>
  </si>
  <si>
    <t>Reconect time per IP server</t>
  </si>
  <si>
    <t>Agg SAMs required</t>
  </si>
  <si>
    <t>Message:</t>
  </si>
  <si>
    <t>Agg SAMs required for Toposync and Notifications</t>
  </si>
  <si>
    <t>Aggregate trap CPU</t>
  </si>
  <si>
    <t>Agg SAMs required for traps</t>
  </si>
  <si>
    <t>Number of OI servers</t>
  </si>
  <si>
    <t>Max CPU utilization per OI server</t>
  </si>
  <si>
    <t>Max CPU utilization for traps</t>
  </si>
  <si>
    <t>Max cores per SAM</t>
  </si>
  <si>
    <t>Console Cpu Per Down Event</t>
  </si>
  <si>
    <t>Console Cpu To Deliver Notifications</t>
  </si>
  <si>
    <t>Total Console CPU</t>
  </si>
  <si>
    <t>Number of Presentation SAMs</t>
  </si>
  <si>
    <t>Fractional Presentation SAMs needed</t>
  </si>
  <si>
    <t>FractionalAggSAMs</t>
  </si>
  <si>
    <t>Max cores per Pres SAM</t>
  </si>
  <si>
    <t>Total</t>
  </si>
  <si>
    <t>Average latency to consoles (not in use)</t>
  </si>
  <si>
    <t>Average latency between SAMs (not in use)</t>
  </si>
  <si>
    <t>Max time to reconnect or restart 1 Agg SAM (toposync, notifications)</t>
  </si>
  <si>
    <t>Total number of processors (cores/cpus/vcpus) for all servers</t>
  </si>
  <si>
    <t>Number of servers</t>
  </si>
  <si>
    <t>Memory - Fixed</t>
  </si>
  <si>
    <t>Memory - Per IPNetwork</t>
  </si>
  <si>
    <t>No. of Ams</t>
  </si>
  <si>
    <t>Memory</t>
  </si>
  <si>
    <t>Source - IP</t>
  </si>
  <si>
    <t>Source  - Aggregate SAM</t>
  </si>
  <si>
    <t>No. of SAMs</t>
  </si>
  <si>
    <t>SAM - CPU for Event Down Correlation</t>
  </si>
  <si>
    <t>No. of Consoles</t>
  </si>
  <si>
    <t>No. of OIs</t>
  </si>
  <si>
    <t>No. of Parent SAMs</t>
  </si>
  <si>
    <t>No. of Events passed Per AM</t>
  </si>
  <si>
    <t>RSS before event down correlation for SAM</t>
  </si>
  <si>
    <t>RSS after event down correlation for SAM</t>
  </si>
  <si>
    <t>CPU utilization during Event down Correlation For SAM</t>
  </si>
  <si>
    <t>CPU utilization during Event down Correlation for Parent SAM</t>
  </si>
  <si>
    <t>No. of Notifications/traps sent</t>
  </si>
  <si>
    <t>Memory - Per Retained Notification
(Agg. SAM)</t>
  </si>
  <si>
    <t>Memory - Per Retained Notification
(Pres. SAM)</t>
  </si>
  <si>
    <t>RSS after event down correlation for Parent SAM</t>
  </si>
  <si>
    <t>RSS before event down correlation for Parent SAM</t>
  </si>
  <si>
    <t>Cpu Utilization for TopoSyncs</t>
  </si>
  <si>
    <t>Per underlying server</t>
  </si>
  <si>
    <t>Underlying servers</t>
  </si>
  <si>
    <t>Ams</t>
  </si>
  <si>
    <t>Run</t>
  </si>
  <si>
    <t>Source -OI</t>
  </si>
  <si>
    <t>Consoles</t>
  </si>
  <si>
    <t>CPU per trap from OI</t>
  </si>
  <si>
    <t>CPU per trap from AggSAM</t>
  </si>
  <si>
    <t>CPU per trap for consoles.</t>
  </si>
  <si>
    <t>Linux Version:</t>
  </si>
  <si>
    <t>Windows Version:</t>
  </si>
  <si>
    <t>IP Version:</t>
  </si>
  <si>
    <t>SAM Version:</t>
  </si>
  <si>
    <t>Linux Machine:</t>
  </si>
  <si>
    <t>Windows Machine:</t>
  </si>
  <si>
    <t>% Diff</t>
  </si>
  <si>
    <t>Utilization</t>
  </si>
  <si>
    <t>CPU utilization for EventsUP Correlation for SAM</t>
  </si>
  <si>
    <t>Cpu Utilization for NotificationDown in SAM</t>
  </si>
  <si>
    <t>Memory (In Bytes)</t>
  </si>
  <si>
    <t>TopoSync CPU (in Seconds)</t>
  </si>
  <si>
    <t>SAM Startup Memory</t>
  </si>
  <si>
    <t>Perunderlying Server</t>
  </si>
  <si>
    <t>AM</t>
  </si>
  <si>
    <t>1-3 comparison</t>
  </si>
  <si>
    <t>consoles</t>
  </si>
  <si>
    <t>for 0-50</t>
  </si>
  <si>
    <t>for 50-100</t>
  </si>
  <si>
    <t>cpu per down for parent sam</t>
  </si>
  <si>
    <t>SAM cpu per down</t>
  </si>
  <si>
    <t>comparing 1-3</t>
  </si>
  <si>
    <t>SAMs</t>
  </si>
  <si>
    <t>comparing 1-2</t>
  </si>
  <si>
    <t>CPU per down event per Source/Destination (in Seconds)</t>
  </si>
  <si>
    <t>Extra CPU per down event per Source/Destination (in Seconds)</t>
  </si>
  <si>
    <t>100-200</t>
  </si>
  <si>
    <t>0-200</t>
  </si>
  <si>
    <t>Topology1</t>
  </si>
  <si>
    <t>Topology2</t>
  </si>
  <si>
    <t>Topology3</t>
  </si>
  <si>
    <t>Topology4</t>
  </si>
  <si>
    <t>Topology5</t>
  </si>
  <si>
    <t>Topology6</t>
  </si>
  <si>
    <t>Throughput</t>
  </si>
  <si>
    <t>Event Down Throughput (events/sec)</t>
  </si>
  <si>
    <t>Notification Throughput (traps/sec)</t>
  </si>
  <si>
    <t>Initial Memory (MB)</t>
  </si>
  <si>
    <t>Max Memory (MB)</t>
  </si>
  <si>
    <t>Archive Location</t>
  </si>
  <si>
    <t>Max CPU per down event for Source/Destination (in seconds)</t>
  </si>
  <si>
    <t>CPU per down trap (in seconds)</t>
  </si>
  <si>
    <t>Archive Location Root:</t>
  </si>
  <si>
    <t>CPU</t>
  </si>
  <si>
    <t>Cpu per Event (in sec)</t>
  </si>
  <si>
    <t>Cpu per notification (in sec)</t>
  </si>
  <si>
    <t>Input Data from file</t>
  </si>
  <si>
    <t>SAM Stats collected</t>
  </si>
  <si>
    <t>SAM Max memory</t>
  </si>
  <si>
    <t>SAM - EventDown Correlation Elapsed Time</t>
  </si>
  <si>
    <t>SAM - Notifications Down Elapsed Time</t>
  </si>
  <si>
    <t>SAM - Notifications Down CPU time</t>
  </si>
  <si>
    <t>Parent SAM stats collected</t>
  </si>
  <si>
    <t>Parent SAM Startup Memory</t>
  </si>
  <si>
    <t>Parent SAM Max memory</t>
  </si>
  <si>
    <t>Parent SAM - Notifications Down Elapsed Time</t>
  </si>
  <si>
    <t>Parent SAM - Notifications Down CPU Time</t>
  </si>
  <si>
    <t>&lt; Run Name&gt;</t>
  </si>
  <si>
    <t>&lt; Archive Location of Raw data&gt;</t>
  </si>
  <si>
    <t>Calculated Values ( from IP Perfomance Test or from Temp Scratch using multiple runs)</t>
  </si>
  <si>
    <t>Memory - Per Underlying Server</t>
  </si>
  <si>
    <t>calculation  across multiple runs  with varying Ams in TempScratch</t>
  </si>
  <si>
    <t>from IP test</t>
  </si>
  <si>
    <t>TopoSync CPU - Per IPNetwork</t>
  </si>
  <si>
    <t>from IP test and SAS Reg.</t>
  </si>
  <si>
    <t>TopoSync CPU - Per UCS</t>
  </si>
  <si>
    <t>Cpu Down for Target-Console.</t>
  </si>
  <si>
    <t>calculation  across multiple runs with varying consoles in TempScratch</t>
  </si>
  <si>
    <t>Extra Cpu Down per Source-IP</t>
  </si>
  <si>
    <t>calculation  across multiple runs with varying AMs in TempScratch</t>
  </si>
  <si>
    <t>Extra Cpu Down per Source-Agg. SAM</t>
  </si>
  <si>
    <t>calculation  across multiple runs with varying Agg. SAMs in TempScratch</t>
  </si>
  <si>
    <t>Extra Cpu Down for Target-Console.</t>
  </si>
  <si>
    <t>Calculations For Data Sheet:</t>
  </si>
  <si>
    <t>Calculations for SAM Comparison:</t>
  </si>
  <si>
    <t>Target - Console</t>
  </si>
  <si>
    <t>CPU Down</t>
  </si>
  <si>
    <t>Extra CPU Down</t>
  </si>
  <si>
    <t>Extra CPU per down</t>
  </si>
  <si>
    <t>Per Source-IP</t>
  </si>
  <si>
    <t xml:space="preserve"> Extra CPU per down</t>
  </si>
  <si>
    <t>Per Source - Agg.Sam</t>
  </si>
  <si>
    <t>CPU Utilization for event down with 1 Source/Destination (in %)</t>
  </si>
  <si>
    <t>CPU Utilization for event down with 1 Target-Console.</t>
  </si>
  <si>
    <t>CPU Utilization per 1 Source/Destination</t>
  </si>
  <si>
    <t>Per Target Console</t>
  </si>
  <si>
    <t>Source - Aggregate SAM</t>
  </si>
  <si>
    <t>3-4 comparison</t>
  </si>
  <si>
    <t>1-4 comparison</t>
  </si>
  <si>
    <t>Notes</t>
  </si>
  <si>
    <t>Run Name</t>
  </si>
  <si>
    <t>AM, OI - 3</t>
  </si>
  <si>
    <t>for 0-100</t>
  </si>
  <si>
    <t>0-300</t>
  </si>
  <si>
    <t>comparing 3-4</t>
  </si>
  <si>
    <t>comparing 1-4</t>
  </si>
  <si>
    <t>3-OI, 1-AM</t>
  </si>
  <si>
    <t>Utilization for Pres. SAM</t>
  </si>
  <si>
    <t>CPU per down trap</t>
  </si>
  <si>
    <t>cpu per down trap for parent SAM</t>
  </si>
  <si>
    <t>Run1</t>
  </si>
  <si>
    <t>Run11</t>
  </si>
  <si>
    <t>for 0-200</t>
  </si>
  <si>
    <t>for 0-300</t>
  </si>
  <si>
    <t>200-300</t>
  </si>
  <si>
    <t>1-3</t>
  </si>
  <si>
    <t>1-4</t>
  </si>
  <si>
    <t>Parent SAM cpu per down</t>
  </si>
  <si>
    <t>Summary Results</t>
  </si>
  <si>
    <t>Comparison to actual results</t>
  </si>
  <si>
    <t>Template - not results</t>
  </si>
  <si>
    <t>Per Underlying Server</t>
  </si>
  <si>
    <t>Run2</t>
  </si>
  <si>
    <t>Run4</t>
  </si>
  <si>
    <t>Run14</t>
  </si>
  <si>
    <t>Run13</t>
  </si>
  <si>
    <t>Run12</t>
  </si>
  <si>
    <t>Run10</t>
  </si>
  <si>
    <t>Run9</t>
  </si>
  <si>
    <t>Run8</t>
  </si>
  <si>
    <t>Run7</t>
  </si>
  <si>
    <t>Run6</t>
  </si>
  <si>
    <t>Run5</t>
  </si>
  <si>
    <t>2-4 comparison</t>
  </si>
  <si>
    <t>100-300</t>
  </si>
  <si>
    <t>1-2</t>
  </si>
  <si>
    <t>cpu per down</t>
  </si>
  <si>
    <t>1-2 comparison</t>
  </si>
  <si>
    <t>comparing 2-3</t>
  </si>
  <si>
    <t>&lt;Archive Location&gt;\rh5_strs-vm-142\234\rhel5_Run1_100Consoles_3AM_3OI</t>
  </si>
  <si>
    <t>Run1-pub</t>
  </si>
  <si>
    <t>Run3-pub</t>
  </si>
  <si>
    <t>&lt;Archive Location&gt;\rh5_strs-vm-142\234\Run3</t>
  </si>
  <si>
    <t>Run5-pub</t>
  </si>
  <si>
    <t>Run6-pub</t>
  </si>
  <si>
    <t>Run7-pub</t>
  </si>
  <si>
    <t>Run8-pub</t>
  </si>
  <si>
    <t>Run9-pub</t>
  </si>
  <si>
    <t>Run10-pub</t>
  </si>
  <si>
    <t>Run11-pub</t>
  </si>
  <si>
    <t>365
358</t>
  </si>
  <si>
    <t>377
358</t>
  </si>
  <si>
    <t>Run12-pub</t>
  </si>
  <si>
    <t>Run13-nopub</t>
  </si>
  <si>
    <t>Run14-nopub</t>
  </si>
  <si>
    <t>Run15-nopub</t>
  </si>
  <si>
    <t>Run16-nopub</t>
  </si>
  <si>
    <t>&lt;Archive Location&gt;\rh5_strs-vm-142\234\Run4</t>
  </si>
  <si>
    <t>Run4-pub</t>
  </si>
  <si>
    <t>2-3</t>
  </si>
  <si>
    <t>2-4</t>
  </si>
  <si>
    <t>3-4</t>
  </si>
  <si>
    <t>No. of IPNetworks</t>
  </si>
  <si>
    <t>Run3</t>
  </si>
  <si>
    <t>Geo Mean</t>
  </si>
  <si>
    <r>
      <rPr>
        <b/>
        <sz val="10"/>
        <rFont val="Arial"/>
        <family val="2"/>
      </rPr>
      <t>Topology Used for Comparison:</t>
    </r>
    <r>
      <rPr>
        <sz val="10"/>
        <rFont val="Arial"/>
        <family val="2"/>
      </rPr>
      <t xml:space="preserve">
       - 3 AMs, 26370 events/AM
       - 3 OIs, 10000 notifications/OI
       - 1 Aggregate SAM
       - 1 Presentation SAM, 100 consoles</t>
    </r>
  </si>
  <si>
    <t>1-8 comparison</t>
  </si>
  <si>
    <t>3-8 compariosn</t>
  </si>
  <si>
    <t>comparing 1-8</t>
  </si>
  <si>
    <t>User Input</t>
  </si>
  <si>
    <t>Managed Environment</t>
  </si>
  <si>
    <t>Sizing Output</t>
  </si>
  <si>
    <t>Do not modify below values</t>
  </si>
  <si>
    <t>Total Growth</t>
  </si>
  <si>
    <r>
      <t xml:space="preserve">IPs </t>
    </r>
    <r>
      <rPr>
        <sz val="10"/>
        <rFont val="Arial"/>
        <family val="2"/>
      </rPr>
      <t>(10 per Router plus number of Devices)</t>
    </r>
  </si>
  <si>
    <r>
      <t>Interfaces</t>
    </r>
    <r>
      <rPr>
        <sz val="10"/>
        <rFont val="Arial"/>
        <family val="2"/>
      </rPr>
      <t xml:space="preserve"> (20/Router + Switches + Hosts)</t>
    </r>
  </si>
  <si>
    <r>
      <t>Ports</t>
    </r>
    <r>
      <rPr>
        <sz val="10"/>
        <rFont val="Arial"/>
        <family val="2"/>
      </rPr>
      <t xml:space="preserve"> (60 per Switch + # Hosts)</t>
    </r>
  </si>
  <si>
    <t>Intermediate Calculations</t>
  </si>
  <si>
    <t>Limitations:
1) We only looked at IP and OI as underlying servers.  The other servers will come later.
2) Cpu consumption depends on the arrival rate of notifications.  We do not have a good sense of what notification rates to expect yet. This model treats cpu consumption only in a notification burst scenario.
3) We haven't looked at interactive traffic yet.  We do not yet have good stats on what 'typical' interactive traffic looks like.</t>
  </si>
  <si>
    <t>For Quick Sizing, enter the data in the "User Input" section on the top, to see the number of servers and Memory needed for Aggregate and Presentation Sam. Output based on the data entered and can be seen in the Output Section.</t>
  </si>
  <si>
    <t>For Advanced Sizing, enter the data in the "User Input" (marked green) and you can see the summary for various topologies selected in the Summary Section of the Sheet.</t>
  </si>
  <si>
    <t>Parent SAM - Elapsed Time Event Down Correlation</t>
  </si>
  <si>
    <t>Parent SAM - Event Down Correnation CPU</t>
  </si>
  <si>
    <t>Run18</t>
  </si>
  <si>
    <t>Run15</t>
  </si>
  <si>
    <t>RH6.3</t>
  </si>
  <si>
    <t>2012 server</t>
  </si>
  <si>
    <t>Run16</t>
  </si>
  <si>
    <t>Number of legacy consoles/clients</t>
  </si>
  <si>
    <t xml:space="preserve">Linux </t>
  </si>
  <si>
    <t>Linux</t>
  </si>
  <si>
    <t>strs-vm-146(VM)</t>
  </si>
  <si>
    <t>strs-vm-148(VM)</t>
  </si>
  <si>
    <t>9.4.2 build 36</t>
  </si>
  <si>
    <t>9.4.2 build 15</t>
  </si>
  <si>
    <t>9.4.2</t>
  </si>
  <si>
    <t>Run1_100Consoles_3AM_3OI</t>
  </si>
  <si>
    <t>Run6_200Consoles_3AM_3OI</t>
  </si>
  <si>
    <t>Run7_300Consoles_3AM_3OI</t>
  </si>
  <si>
    <t>Run8_0Consoles_1AM_3OI</t>
  </si>
  <si>
    <t>Run9_0Consoles_2AM_3OI</t>
  </si>
  <si>
    <t>Run10_0Consoles_4AM_3OI</t>
  </si>
  <si>
    <t>Run11_0Consoles_1AM_3OI_2SAM</t>
  </si>
  <si>
    <t>Run12_0Consoles_1AM_1OI</t>
  </si>
  <si>
    <t>Run13_100Consoles_3AM_3OI_nopub</t>
  </si>
  <si>
    <t>Run14_100Consoles_3AM_3OI_nopub</t>
  </si>
  <si>
    <t>Run15_0Consoles_3AM_3OI_nopub</t>
  </si>
  <si>
    <t>Run1_0Consoles_1AM_1OI</t>
  </si>
  <si>
    <t>Run2_0Consoles_3AM_1OI</t>
  </si>
  <si>
    <t xml:space="preserve">9.4.2 Win 2012 Runs </t>
  </si>
  <si>
    <t>Run3_0Consoles_1AM_3OI</t>
  </si>
  <si>
    <t>Run4_0Consoles_2AM_3OI</t>
  </si>
  <si>
    <t>Run6_0Consoles_4AM_3OI</t>
  </si>
  <si>
    <t>Run7_0Consoles_8AM_3OI</t>
  </si>
  <si>
    <t>Run8_200Consoles_3AM_3OI</t>
  </si>
  <si>
    <t>Run9_300Consoles_3AM_3OI</t>
  </si>
  <si>
    <t>Run10_0Consoles_1AM_3OI_2SAM</t>
  </si>
  <si>
    <t>Run12_100Consoles_3AM_3OI</t>
  </si>
  <si>
    <t>Run13_100Consoles_3AM_3OI</t>
  </si>
  <si>
    <t>Run14_0Consoles_3AM_3OI</t>
  </si>
  <si>
    <t xml:space="preserve">9.4.2 Linux Rh7 Runs  </t>
  </si>
  <si>
    <t>Run5_50Consoles_3AM_3OI</t>
  </si>
  <si>
    <t>Windows2012</t>
  </si>
  <si>
    <t>Start Memory</t>
  </si>
  <si>
    <t>cpu per down for parent SAM</t>
  </si>
  <si>
    <t>Start memory</t>
  </si>
  <si>
    <t>Windows</t>
  </si>
  <si>
    <t>9.4.2 Vs 9.5 SAM (without NUI and AS components)</t>
  </si>
  <si>
    <t>9.5</t>
  </si>
  <si>
    <t>9.4.2 - 9.5difference</t>
  </si>
  <si>
    <t xml:space="preserve">VM-Linux
</t>
  </si>
  <si>
    <t xml:space="preserve">VM-Windows 
</t>
  </si>
  <si>
    <t>9.5 Linux  Runs</t>
  </si>
  <si>
    <t xml:space="preserve"> VMware Telco Cloud Service Assurance - SAM Server Sizing Guide</t>
  </si>
  <si>
    <t>OI Servers</t>
  </si>
  <si>
    <t>Trap, Alerts rate ( per sec)</t>
  </si>
  <si>
    <t>Product: SAM 2.4.0.0
Model of SAM.  SAM may be the only SAM or an Aggregate SAM feeding a Presentation SAM or a Presentation SAM or any combination.
Note the small red triangles in upper right of a field contain information about its use.</t>
  </si>
  <si>
    <t>VMware Telco Cloud Service Assurance SAM Version 2.4.0.0 Performance Benchmarking and Sizing Guidelines</t>
  </si>
  <si>
    <t>cpus for each server</t>
  </si>
  <si>
    <t xml:space="preserve">Copyright © 2024 Broadcom. All Rights Reserved. The term “Broadcom” refers to Broadcom Inc. and/or its subsidiaries. For more information, go to https://www.broadcom.com. All trademarks, trade names, service marks, and logos referenced herein belong to their respective companies. Copyright and trademark 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</si>
</sst>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000"/>
    <numFmt numFmtId="165" formatCode="[h]:mm:ss;@"/>
    <numFmt numFmtId="166" formatCode="#,##0.000000"/>
    <numFmt numFmtId="167" formatCode="0.0"/>
    <numFmt numFmtId="168" formatCode="hh:mm:ss.0"/>
    <numFmt numFmtId="169" formatCode="0.000"/>
    <numFmt numFmtId="170" formatCode="mm/dd/yyyy"/>
    <numFmt numFmtId="171" formatCode="#,##0.0"/>
    <numFmt numFmtId="172" formatCode="#,##0.0000"/>
    <numFmt numFmtId="173" formatCode="0.0%"/>
  </numFmts>
  <fonts count="38">
    <font>
      <sz val="10"/>
      <name val="Arial"/>
    </font>
    <font>
      <sz val="10"/>
      <name val="Arial"/>
      <family val="2"/>
    </font>
    <font>
      <sz val="8"/>
      <name val="Arial"/>
      <family val="2"/>
    </font>
    <font>
      <sz val="8"/>
      <color indexed="81"/>
      <name val="Tahoma"/>
      <family val="2"/>
    </font>
    <font>
      <b/>
      <sz val="8"/>
      <color indexed="81"/>
      <name val="Tahoma"/>
      <family val="2"/>
    </font>
    <font>
      <sz val="10"/>
      <name val="Arial"/>
      <family val="2"/>
    </font>
    <font>
      <b/>
      <sz val="10"/>
      <name val="Arial"/>
      <family val="2"/>
    </font>
    <font>
      <b/>
      <sz val="10"/>
      <color indexed="8"/>
      <name val="Arial"/>
      <family val="2"/>
    </font>
    <font>
      <sz val="7"/>
      <color indexed="10"/>
      <name val="Arial"/>
      <family val="2"/>
    </font>
    <font>
      <sz val="9"/>
      <color indexed="81"/>
      <name val="Tahoma"/>
      <family val="2"/>
    </font>
    <font>
      <b/>
      <sz val="9"/>
      <color indexed="81"/>
      <name val="Tahoma"/>
      <family val="2"/>
    </font>
    <font>
      <b/>
      <sz val="10"/>
      <color indexed="23"/>
      <name val="Arial"/>
      <family val="2"/>
    </font>
    <font>
      <sz val="10"/>
      <color indexed="23"/>
      <name val="Arial"/>
      <family val="2"/>
    </font>
    <font>
      <sz val="10"/>
      <color indexed="8"/>
      <name val="Arial Unicode MS"/>
      <family val="2"/>
    </font>
    <font>
      <sz val="10"/>
      <color indexed="10"/>
      <name val="Arial"/>
      <family val="2"/>
    </font>
    <font>
      <b/>
      <sz val="10"/>
      <color indexed="10"/>
      <name val="Arial"/>
      <family val="2"/>
    </font>
    <font>
      <b/>
      <sz val="16"/>
      <name val="Arial"/>
      <family val="2"/>
    </font>
    <font>
      <b/>
      <i/>
      <sz val="10"/>
      <name val="Arial"/>
      <family val="2"/>
    </font>
    <font>
      <b/>
      <u/>
      <sz val="18"/>
      <name val="Arial"/>
      <family val="2"/>
    </font>
    <font>
      <b/>
      <u/>
      <sz val="10"/>
      <name val="Arial"/>
      <family val="2"/>
    </font>
    <font>
      <b/>
      <i/>
      <u/>
      <sz val="10"/>
      <name val="Arial"/>
      <family val="2"/>
    </font>
    <font>
      <sz val="11"/>
      <color theme="1"/>
      <name val="Calibri"/>
      <family val="2"/>
      <scheme val="minor"/>
    </font>
    <font>
      <u/>
      <sz val="10"/>
      <color theme="10"/>
      <name val="Arial"/>
      <family val="2"/>
    </font>
    <font>
      <sz val="10"/>
      <color rgb="FF0070C0"/>
      <name val="Arial"/>
      <family val="2"/>
    </font>
    <font>
      <sz val="10"/>
      <color rgb="FF00B0F0"/>
      <name val="Arial"/>
      <family val="2"/>
    </font>
    <font>
      <sz val="10"/>
      <color theme="4"/>
      <name val="Arial"/>
      <family val="2"/>
    </font>
    <font>
      <b/>
      <sz val="10"/>
      <color rgb="FFFF0000"/>
      <name val="Arial"/>
      <family val="2"/>
    </font>
    <font>
      <sz val="10"/>
      <color rgb="FFFF0000"/>
      <name val="Arial"/>
      <family val="2"/>
    </font>
    <font>
      <sz val="14"/>
      <color theme="1"/>
      <name val="Calibri"/>
      <family val="2"/>
      <scheme val="minor"/>
    </font>
    <font>
      <sz val="10"/>
      <color theme="0"/>
      <name val="Arial"/>
      <family val="2"/>
    </font>
    <font>
      <sz val="10"/>
      <color theme="5"/>
      <name val="Arial"/>
      <family val="2"/>
    </font>
    <font>
      <b/>
      <sz val="10"/>
      <color theme="1"/>
      <name val="Arial"/>
      <family val="2"/>
    </font>
    <font>
      <sz val="10"/>
      <name val="Calibri"/>
      <family val="2"/>
    </font>
    <font>
      <sz val="11"/>
      <name val="Calibri"/>
      <family val="2"/>
    </font>
    <font>
      <sz val="8"/>
      <color rgb="FF000000"/>
      <name val="Tahoma"/>
      <family val="2"/>
    </font>
    <font>
      <b/>
      <sz val="9"/>
      <color rgb="FF000000"/>
      <name val="Tahoma"/>
      <family val="2"/>
    </font>
    <font>
      <sz val="9"/>
      <color rgb="FF000000"/>
      <name val="Tahoma"/>
      <family val="2"/>
    </font>
    <font>
      <b/>
      <sz val="8"/>
      <color rgb="FF000000"/>
      <name val="Tahoma"/>
      <family val="2"/>
    </font>
  </fonts>
  <fills count="12">
    <fill>
      <patternFill patternType="none"/>
    </fill>
    <fill>
      <patternFill patternType="gray125"/>
    </fill>
    <fill>
      <patternFill patternType="solid">
        <fgColor indexed="9"/>
        <bgColor indexed="64"/>
      </patternFill>
    </fill>
    <fill>
      <patternFill patternType="solid">
        <fgColor rgb="FFCCFFCC"/>
        <bgColor indexed="64"/>
      </patternFill>
    </fill>
    <fill>
      <patternFill patternType="solid">
        <fgColor theme="6"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3" tint="0.39997558519241921"/>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s>
  <cellStyleXfs count="6">
    <xf numFmtId="0" fontId="0" fillId="0" borderId="0"/>
    <xf numFmtId="0" fontId="22" fillId="0" borderId="0" applyNumberFormat="0" applyFill="0" applyBorder="0" applyAlignment="0" applyProtection="0"/>
    <xf numFmtId="0" fontId="21" fillId="0" borderId="0"/>
    <xf numFmtId="0" fontId="1" fillId="0" borderId="0"/>
    <xf numFmtId="0" fontId="1" fillId="0" borderId="0"/>
    <xf numFmtId="0" fontId="32" fillId="0" borderId="0"/>
  </cellStyleXfs>
  <cellXfs count="542">
    <xf numFmtId="0" fontId="0" fillId="0" borderId="0" xfId="0"/>
    <xf numFmtId="3" fontId="0" fillId="0" borderId="0" xfId="0" applyNumberFormat="1"/>
    <xf numFmtId="0" fontId="0" fillId="2" borderId="0" xfId="0" applyFill="1"/>
    <xf numFmtId="0" fontId="0" fillId="0" borderId="0" xfId="0" applyAlignment="1">
      <alignment wrapText="1"/>
    </xf>
    <xf numFmtId="0" fontId="0" fillId="2" borderId="0" xfId="0" applyFill="1" applyAlignment="1">
      <alignment vertical="top" wrapText="1"/>
    </xf>
    <xf numFmtId="0" fontId="0" fillId="2" borderId="0" xfId="0" applyFill="1" applyAlignment="1">
      <alignment wrapText="1"/>
    </xf>
    <xf numFmtId="0" fontId="0" fillId="2" borderId="0" xfId="0" applyFill="1" applyAlignment="1">
      <alignment horizontal="center" vertical="top" wrapText="1"/>
    </xf>
    <xf numFmtId="0" fontId="0" fillId="0" borderId="0" xfId="0" applyAlignment="1">
      <alignment horizontal="right" vertical="top" wrapText="1"/>
    </xf>
    <xf numFmtId="0" fontId="0" fillId="0" borderId="0" xfId="0" applyAlignment="1">
      <alignment horizontal="left" vertical="top" wrapText="1"/>
    </xf>
    <xf numFmtId="164" fontId="0" fillId="0" borderId="0" xfId="0" applyNumberFormat="1"/>
    <xf numFmtId="0" fontId="0" fillId="0" borderId="0" xfId="0" applyAlignment="1">
      <alignment vertical="top" wrapText="1"/>
    </xf>
    <xf numFmtId="0" fontId="0" fillId="0" borderId="0" xfId="0" applyAlignment="1">
      <alignment vertical="top"/>
    </xf>
    <xf numFmtId="21" fontId="0" fillId="0" borderId="0" xfId="0" applyNumberFormat="1" applyAlignment="1">
      <alignment vertical="top"/>
    </xf>
    <xf numFmtId="10" fontId="0" fillId="2" borderId="0" xfId="0" applyNumberFormat="1" applyFill="1" applyAlignment="1">
      <alignment wrapText="1"/>
    </xf>
    <xf numFmtId="0" fontId="14" fillId="0" borderId="0" xfId="0" applyFont="1"/>
    <xf numFmtId="0" fontId="5" fillId="0" borderId="0" xfId="0" applyFont="1" applyAlignment="1">
      <alignment wrapText="1"/>
    </xf>
    <xf numFmtId="0" fontId="0" fillId="0" borderId="0" xfId="0" applyAlignment="1">
      <alignment horizontal="center" vertical="center" wrapText="1"/>
    </xf>
    <xf numFmtId="0" fontId="6" fillId="0" borderId="0" xfId="0" applyFont="1"/>
    <xf numFmtId="0" fontId="0" fillId="0" borderId="1" xfId="0" applyBorder="1" applyAlignment="1">
      <alignment vertical="top" wrapText="1"/>
    </xf>
    <xf numFmtId="0" fontId="0" fillId="0" borderId="2" xfId="0" applyBorder="1" applyAlignment="1">
      <alignment vertical="top" wrapText="1"/>
    </xf>
    <xf numFmtId="164" fontId="6" fillId="0" borderId="0" xfId="0" applyNumberFormat="1" applyFont="1"/>
    <xf numFmtId="0" fontId="0" fillId="0" borderId="3" xfId="0" applyBorder="1" applyAlignment="1">
      <alignment vertical="top"/>
    </xf>
    <xf numFmtId="0" fontId="0" fillId="0" borderId="1" xfId="0" applyBorder="1" applyAlignment="1">
      <alignment vertical="top"/>
    </xf>
    <xf numFmtId="0" fontId="0" fillId="0" borderId="4" xfId="0" applyBorder="1" applyAlignment="1">
      <alignment vertical="top" wrapText="1"/>
    </xf>
    <xf numFmtId="0" fontId="5" fillId="0" borderId="4" xfId="0" applyFont="1" applyBorder="1" applyAlignment="1">
      <alignment vertical="top" wrapText="1"/>
    </xf>
    <xf numFmtId="0" fontId="0" fillId="0" borderId="5" xfId="0" applyBorder="1" applyAlignment="1">
      <alignment vertical="top" wrapText="1"/>
    </xf>
    <xf numFmtId="0" fontId="0" fillId="0" borderId="6" xfId="0" applyBorder="1" applyAlignment="1">
      <alignment vertical="top"/>
    </xf>
    <xf numFmtId="0" fontId="0" fillId="0" borderId="7" xfId="0" applyBorder="1" applyAlignment="1">
      <alignment vertical="top"/>
    </xf>
    <xf numFmtId="0" fontId="0" fillId="0" borderId="1" xfId="0" applyBorder="1" applyAlignment="1">
      <alignment wrapText="1"/>
    </xf>
    <xf numFmtId="2" fontId="0" fillId="0" borderId="6" xfId="0" applyNumberFormat="1" applyBorder="1" applyAlignment="1">
      <alignment vertical="top"/>
    </xf>
    <xf numFmtId="21" fontId="0" fillId="0" borderId="6" xfId="0" applyNumberFormat="1" applyBorder="1" applyAlignment="1">
      <alignment vertical="top"/>
    </xf>
    <xf numFmtId="0" fontId="0" fillId="0" borderId="6" xfId="0" applyBorder="1"/>
    <xf numFmtId="0" fontId="5" fillId="0" borderId="1" xfId="0" applyFont="1" applyBorder="1" applyAlignment="1">
      <alignment vertical="top" wrapText="1"/>
    </xf>
    <xf numFmtId="0" fontId="0" fillId="0" borderId="0" xfId="0" applyAlignment="1">
      <alignment vertical="center" wrapText="1"/>
    </xf>
    <xf numFmtId="164" fontId="21" fillId="0" borderId="0" xfId="2" applyNumberFormat="1" applyAlignment="1">
      <alignment horizontal="left"/>
    </xf>
    <xf numFmtId="0" fontId="6" fillId="0" borderId="0" xfId="2" applyFont="1" applyAlignment="1" applyProtection="1">
      <alignment horizontal="left"/>
      <protection locked="0"/>
    </xf>
    <xf numFmtId="0" fontId="1" fillId="0" borderId="9" xfId="0" applyFont="1" applyBorder="1" applyAlignment="1">
      <alignment vertical="top" wrapText="1"/>
    </xf>
    <xf numFmtId="0" fontId="1" fillId="0" borderId="0" xfId="0" applyFont="1" applyAlignment="1">
      <alignment wrapText="1"/>
    </xf>
    <xf numFmtId="0" fontId="1" fillId="0" borderId="0" xfId="0" applyFont="1"/>
    <xf numFmtId="0" fontId="0" fillId="0" borderId="10" xfId="0" applyBorder="1"/>
    <xf numFmtId="0" fontId="0" fillId="0" borderId="11" xfId="0" applyBorder="1"/>
    <xf numFmtId="0" fontId="6" fillId="0" borderId="11" xfId="0" applyFont="1" applyBorder="1"/>
    <xf numFmtId="0" fontId="0" fillId="0" borderId="12" xfId="0" applyBorder="1"/>
    <xf numFmtId="0" fontId="0" fillId="0" borderId="13" xfId="0" applyBorder="1"/>
    <xf numFmtId="0" fontId="6" fillId="0" borderId="13" xfId="2" applyFont="1" applyBorder="1" applyAlignment="1" applyProtection="1">
      <alignment horizontal="left"/>
      <protection locked="0"/>
    </xf>
    <xf numFmtId="164" fontId="21" fillId="0" borderId="13" xfId="2" applyNumberFormat="1" applyBorder="1" applyAlignment="1">
      <alignment horizontal="left"/>
    </xf>
    <xf numFmtId="0" fontId="0" fillId="0" borderId="14" xfId="0" applyBorder="1"/>
    <xf numFmtId="164" fontId="0" fillId="0" borderId="13" xfId="0" applyNumberFormat="1" applyBorder="1"/>
    <xf numFmtId="164" fontId="6" fillId="0" borderId="13" xfId="0" applyNumberFormat="1" applyFont="1" applyBorder="1"/>
    <xf numFmtId="0" fontId="0" fillId="0" borderId="15" xfId="0" applyBorder="1"/>
    <xf numFmtId="0" fontId="0" fillId="0" borderId="16" xfId="0" applyBorder="1"/>
    <xf numFmtId="0" fontId="0" fillId="0" borderId="17" xfId="0" applyBorder="1"/>
    <xf numFmtId="3" fontId="0" fillId="0" borderId="13" xfId="0" applyNumberFormat="1" applyBorder="1"/>
    <xf numFmtId="1" fontId="0" fillId="0" borderId="11" xfId="0" applyNumberFormat="1" applyBorder="1"/>
    <xf numFmtId="1" fontId="6" fillId="0" borderId="11" xfId="0" applyNumberFormat="1" applyFont="1" applyBorder="1"/>
    <xf numFmtId="0" fontId="1" fillId="0" borderId="13" xfId="0" applyFont="1" applyBorder="1"/>
    <xf numFmtId="1" fontId="1" fillId="0" borderId="11" xfId="0" applyNumberFormat="1" applyFont="1" applyBorder="1"/>
    <xf numFmtId="0" fontId="6" fillId="0" borderId="13" xfId="0" applyFont="1" applyBorder="1"/>
    <xf numFmtId="0" fontId="0" fillId="3" borderId="0" xfId="0" applyFill="1"/>
    <xf numFmtId="0" fontId="0" fillId="3" borderId="1" xfId="0" applyFill="1" applyBorder="1"/>
    <xf numFmtId="3" fontId="0" fillId="0" borderId="1" xfId="0" applyNumberFormat="1" applyBorder="1"/>
    <xf numFmtId="0" fontId="0" fillId="0" borderId="18" xfId="0" applyBorder="1"/>
    <xf numFmtId="3" fontId="0" fillId="0" borderId="18" xfId="0" applyNumberFormat="1" applyBorder="1"/>
    <xf numFmtId="0" fontId="0" fillId="0" borderId="19" xfId="0" applyBorder="1"/>
    <xf numFmtId="3" fontId="0" fillId="0" borderId="20" xfId="0" applyNumberFormat="1" applyBorder="1"/>
    <xf numFmtId="3" fontId="0" fillId="0" borderId="22" xfId="0" applyNumberFormat="1" applyBorder="1"/>
    <xf numFmtId="3" fontId="0" fillId="0" borderId="23" xfId="0" applyNumberFormat="1" applyBorder="1"/>
    <xf numFmtId="0" fontId="15" fillId="0" borderId="24" xfId="0" applyFont="1" applyBorder="1"/>
    <xf numFmtId="0" fontId="8" fillId="0" borderId="0" xfId="0" applyFont="1" applyAlignment="1">
      <alignment vertical="center" wrapText="1"/>
    </xf>
    <xf numFmtId="0" fontId="5" fillId="0" borderId="0" xfId="0" applyFont="1" applyAlignment="1">
      <alignment vertical="center" wrapText="1"/>
    </xf>
    <xf numFmtId="3" fontId="6" fillId="0" borderId="3" xfId="0" applyNumberFormat="1" applyFont="1" applyBorder="1" applyProtection="1">
      <protection locked="0"/>
    </xf>
    <xf numFmtId="3" fontId="6" fillId="0" borderId="6" xfId="0" applyNumberFormat="1" applyFont="1" applyBorder="1" applyProtection="1">
      <protection locked="0"/>
    </xf>
    <xf numFmtId="0" fontId="6" fillId="0" borderId="6" xfId="0" applyFont="1" applyBorder="1" applyProtection="1">
      <protection locked="0"/>
    </xf>
    <xf numFmtId="9" fontId="6" fillId="0" borderId="6" xfId="0" applyNumberFormat="1" applyFont="1" applyBorder="1" applyProtection="1">
      <protection locked="0"/>
    </xf>
    <xf numFmtId="165" fontId="6" fillId="0" borderId="6" xfId="0" applyNumberFormat="1" applyFont="1" applyBorder="1" applyAlignment="1" applyProtection="1">
      <alignment vertical="top"/>
      <protection locked="0"/>
    </xf>
    <xf numFmtId="3" fontId="6" fillId="0" borderId="6" xfId="0" applyNumberFormat="1" applyFont="1" applyBorder="1" applyAlignment="1" applyProtection="1">
      <alignment vertical="top"/>
      <protection locked="0"/>
    </xf>
    <xf numFmtId="3" fontId="0" fillId="0" borderId="14" xfId="0" applyNumberFormat="1" applyBorder="1"/>
    <xf numFmtId="0" fontId="5" fillId="3" borderId="4" xfId="0" applyFont="1" applyFill="1" applyBorder="1" applyAlignment="1">
      <alignment vertical="top" wrapText="1"/>
    </xf>
    <xf numFmtId="0" fontId="6" fillId="3" borderId="1" xfId="0" applyFont="1" applyFill="1" applyBorder="1" applyAlignment="1">
      <alignment wrapText="1"/>
    </xf>
    <xf numFmtId="0" fontId="6" fillId="3" borderId="0" xfId="0" applyFont="1" applyFill="1" applyAlignment="1">
      <alignment horizontal="center" vertical="center" wrapText="1"/>
    </xf>
    <xf numFmtId="0" fontId="6" fillId="3" borderId="0" xfId="0" applyFont="1" applyFill="1" applyAlignment="1" applyProtection="1">
      <alignment horizontal="left" vertical="center" wrapText="1"/>
      <protection locked="0"/>
    </xf>
    <xf numFmtId="0" fontId="0" fillId="3" borderId="0" xfId="0" applyFill="1" applyAlignment="1">
      <alignment wrapText="1"/>
    </xf>
    <xf numFmtId="0" fontId="1" fillId="3" borderId="1" xfId="0" applyFont="1" applyFill="1" applyBorder="1" applyAlignment="1">
      <alignment wrapText="1"/>
    </xf>
    <xf numFmtId="0" fontId="1" fillId="3" borderId="25" xfId="0" applyFont="1" applyFill="1" applyBorder="1" applyAlignment="1">
      <alignment wrapText="1"/>
    </xf>
    <xf numFmtId="0" fontId="1" fillId="3" borderId="26" xfId="0" applyFont="1" applyFill="1" applyBorder="1" applyAlignment="1">
      <alignment wrapText="1"/>
    </xf>
    <xf numFmtId="9" fontId="1" fillId="3" borderId="1" xfId="0" applyNumberFormat="1" applyFont="1" applyFill="1" applyBorder="1" applyAlignment="1">
      <alignment wrapText="1"/>
    </xf>
    <xf numFmtId="0" fontId="0" fillId="3" borderId="1" xfId="0" applyFill="1" applyBorder="1" applyAlignment="1">
      <alignment wrapText="1"/>
    </xf>
    <xf numFmtId="9" fontId="0" fillId="3" borderId="1" xfId="0" applyNumberFormat="1" applyFill="1" applyBorder="1" applyAlignment="1">
      <alignment wrapText="1"/>
    </xf>
    <xf numFmtId="0" fontId="1" fillId="3" borderId="27" xfId="0" applyFont="1" applyFill="1" applyBorder="1" applyAlignment="1">
      <alignment wrapText="1"/>
    </xf>
    <xf numFmtId="0" fontId="1" fillId="3" borderId="0" xfId="0" applyFont="1" applyFill="1" applyAlignment="1">
      <alignment wrapText="1"/>
    </xf>
    <xf numFmtId="0" fontId="1" fillId="3" borderId="28" xfId="0" applyFont="1" applyFill="1" applyBorder="1" applyAlignment="1">
      <alignment wrapText="1"/>
    </xf>
    <xf numFmtId="0" fontId="16" fillId="3" borderId="20" xfId="0" applyFont="1" applyFill="1" applyBorder="1" applyAlignment="1">
      <alignment horizontal="center" vertical="center" wrapText="1"/>
    </xf>
    <xf numFmtId="0" fontId="1" fillId="3" borderId="20" xfId="0" applyFont="1" applyFill="1" applyBorder="1" applyAlignment="1">
      <alignment wrapText="1"/>
    </xf>
    <xf numFmtId="0" fontId="16" fillId="3" borderId="1"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 fillId="3" borderId="29" xfId="0" applyFont="1" applyFill="1" applyBorder="1" applyAlignment="1">
      <alignment wrapText="1"/>
    </xf>
    <xf numFmtId="0" fontId="1" fillId="3" borderId="30" xfId="0" applyFont="1" applyFill="1" applyBorder="1" applyAlignment="1">
      <alignment wrapText="1"/>
    </xf>
    <xf numFmtId="0" fontId="0" fillId="3" borderId="30" xfId="0" applyFill="1" applyBorder="1" applyAlignment="1">
      <alignment wrapText="1"/>
    </xf>
    <xf numFmtId="0" fontId="0" fillId="3" borderId="31" xfId="0" applyFill="1" applyBorder="1" applyAlignment="1">
      <alignment wrapText="1"/>
    </xf>
    <xf numFmtId="0" fontId="14" fillId="3" borderId="22" xfId="0" applyFont="1" applyFill="1" applyBorder="1" applyAlignment="1">
      <alignment wrapText="1"/>
    </xf>
    <xf numFmtId="3" fontId="0" fillId="3" borderId="20" xfId="0" applyNumberFormat="1" applyFill="1" applyBorder="1" applyAlignment="1">
      <alignment wrapText="1"/>
    </xf>
    <xf numFmtId="0" fontId="1" fillId="3" borderId="6" xfId="0" applyFont="1" applyFill="1" applyBorder="1" applyAlignment="1">
      <alignment vertical="center" wrapText="1"/>
    </xf>
    <xf numFmtId="0" fontId="1" fillId="3" borderId="23" xfId="0" applyFont="1" applyFill="1" applyBorder="1" applyAlignment="1">
      <alignment wrapText="1"/>
    </xf>
    <xf numFmtId="2" fontId="6" fillId="3" borderId="1" xfId="0" applyNumberFormat="1" applyFont="1" applyFill="1" applyBorder="1" applyAlignment="1">
      <alignment wrapText="1"/>
    </xf>
    <xf numFmtId="0" fontId="1" fillId="3" borderId="19" xfId="0" applyFont="1" applyFill="1" applyBorder="1" applyAlignment="1">
      <alignment vertical="center" wrapText="1"/>
    </xf>
    <xf numFmtId="0" fontId="1" fillId="3" borderId="3" xfId="0" applyFont="1" applyFill="1" applyBorder="1" applyAlignment="1">
      <alignment vertical="center" wrapText="1"/>
    </xf>
    <xf numFmtId="0" fontId="6" fillId="3" borderId="32" xfId="0" applyFont="1" applyFill="1" applyBorder="1" applyAlignment="1">
      <alignment wrapText="1"/>
    </xf>
    <xf numFmtId="164" fontId="6" fillId="3" borderId="3" xfId="0" applyNumberFormat="1" applyFont="1" applyFill="1" applyBorder="1" applyAlignment="1">
      <alignment wrapText="1"/>
    </xf>
    <xf numFmtId="0" fontId="6" fillId="3" borderId="24" xfId="0" applyFont="1" applyFill="1" applyBorder="1" applyAlignment="1">
      <alignment wrapText="1"/>
    </xf>
    <xf numFmtId="164" fontId="6" fillId="3" borderId="19" xfId="0" applyNumberFormat="1" applyFont="1" applyFill="1" applyBorder="1" applyAlignment="1">
      <alignment wrapText="1"/>
    </xf>
    <xf numFmtId="9" fontId="6" fillId="3" borderId="3" xfId="0" applyNumberFormat="1" applyFont="1" applyFill="1" applyBorder="1" applyAlignment="1">
      <alignment wrapText="1"/>
    </xf>
    <xf numFmtId="0" fontId="1" fillId="3" borderId="16" xfId="0" applyFont="1" applyFill="1" applyBorder="1" applyAlignment="1">
      <alignment wrapText="1"/>
    </xf>
    <xf numFmtId="0" fontId="0" fillId="3" borderId="16" xfId="0" applyFill="1" applyBorder="1" applyAlignment="1">
      <alignment wrapText="1"/>
    </xf>
    <xf numFmtId="0" fontId="0" fillId="3" borderId="17" xfId="0" applyFill="1" applyBorder="1" applyAlignment="1">
      <alignment wrapText="1"/>
    </xf>
    <xf numFmtId="0" fontId="1" fillId="3" borderId="25" xfId="0" applyFont="1" applyFill="1" applyBorder="1" applyAlignment="1">
      <alignment vertical="center" wrapText="1"/>
    </xf>
    <xf numFmtId="164" fontId="0" fillId="3" borderId="33" xfId="0" applyNumberFormat="1" applyFill="1" applyBorder="1" applyAlignment="1">
      <alignment wrapText="1"/>
    </xf>
    <xf numFmtId="164" fontId="0" fillId="3" borderId="2" xfId="0" applyNumberFormat="1" applyFill="1" applyBorder="1" applyAlignment="1">
      <alignment wrapText="1"/>
    </xf>
    <xf numFmtId="164" fontId="0" fillId="3" borderId="3" xfId="0" applyNumberFormat="1" applyFill="1" applyBorder="1" applyAlignment="1">
      <alignment wrapText="1"/>
    </xf>
    <xf numFmtId="0" fontId="1" fillId="3" borderId="27" xfId="0" applyFont="1" applyFill="1" applyBorder="1" applyAlignment="1">
      <alignment vertical="center" wrapText="1"/>
    </xf>
    <xf numFmtId="164" fontId="0" fillId="3" borderId="34" xfId="0" applyNumberFormat="1" applyFill="1" applyBorder="1" applyAlignment="1">
      <alignment wrapText="1"/>
    </xf>
    <xf numFmtId="164" fontId="0" fillId="3" borderId="18" xfId="0" applyNumberFormat="1" applyFill="1" applyBorder="1" applyAlignment="1">
      <alignment wrapText="1"/>
    </xf>
    <xf numFmtId="164" fontId="0" fillId="3" borderId="19" xfId="0" applyNumberFormat="1" applyFill="1" applyBorder="1" applyAlignment="1">
      <alignment wrapText="1"/>
    </xf>
    <xf numFmtId="0" fontId="0" fillId="3" borderId="35" xfId="0" applyFill="1" applyBorder="1"/>
    <xf numFmtId="0" fontId="0" fillId="3" borderId="31" xfId="0" applyFill="1" applyBorder="1"/>
    <xf numFmtId="0" fontId="0" fillId="3" borderId="17" xfId="0" applyFill="1" applyBorder="1"/>
    <xf numFmtId="0" fontId="1" fillId="3" borderId="12" xfId="0" applyFont="1" applyFill="1" applyBorder="1" applyAlignment="1">
      <alignment wrapText="1"/>
    </xf>
    <xf numFmtId="0" fontId="1" fillId="3" borderId="14" xfId="0" applyFont="1" applyFill="1" applyBorder="1" applyAlignment="1">
      <alignment wrapText="1"/>
    </xf>
    <xf numFmtId="164" fontId="0" fillId="3" borderId="0" xfId="0" applyNumberFormat="1" applyFill="1"/>
    <xf numFmtId="3" fontId="0" fillId="0" borderId="36" xfId="0" applyNumberFormat="1" applyBorder="1" applyAlignment="1">
      <alignment vertical="top" wrapText="1"/>
    </xf>
    <xf numFmtId="3" fontId="0" fillId="0" borderId="37" xfId="0" applyNumberFormat="1" applyBorder="1" applyAlignment="1">
      <alignment vertical="top" wrapText="1"/>
    </xf>
    <xf numFmtId="3" fontId="0" fillId="0" borderId="1" xfId="0" applyNumberFormat="1" applyBorder="1" applyAlignment="1">
      <alignment vertical="top" wrapText="1"/>
    </xf>
    <xf numFmtId="9" fontId="0" fillId="0" borderId="1" xfId="0" applyNumberFormat="1" applyBorder="1" applyAlignment="1">
      <alignment vertical="top" wrapText="1"/>
    </xf>
    <xf numFmtId="3" fontId="0" fillId="0" borderId="1" xfId="0" applyNumberFormat="1" applyBorder="1" applyAlignment="1">
      <alignment horizontal="right" vertical="top" wrapText="1"/>
    </xf>
    <xf numFmtId="4" fontId="0" fillId="0" borderId="1" xfId="0" applyNumberFormat="1" applyBorder="1" applyAlignment="1">
      <alignment vertical="top" wrapText="1"/>
    </xf>
    <xf numFmtId="166" fontId="0" fillId="0" borderId="1" xfId="0" applyNumberFormat="1" applyBorder="1" applyAlignment="1">
      <alignment vertical="top" wrapText="1"/>
    </xf>
    <xf numFmtId="164" fontId="5" fillId="0" borderId="1" xfId="0" applyNumberFormat="1" applyFont="1" applyBorder="1" applyAlignment="1">
      <alignment vertical="top" wrapText="1"/>
    </xf>
    <xf numFmtId="3" fontId="0" fillId="0" borderId="2" xfId="0" applyNumberFormat="1" applyBorder="1" applyAlignment="1">
      <alignment horizontal="right" vertical="top" wrapText="1"/>
    </xf>
    <xf numFmtId="3" fontId="0" fillId="0" borderId="3" xfId="0" applyNumberFormat="1" applyBorder="1" applyAlignment="1">
      <alignment horizontal="right" vertical="top" wrapText="1"/>
    </xf>
    <xf numFmtId="3" fontId="0" fillId="0" borderId="6" xfId="0" applyNumberFormat="1" applyBorder="1" applyAlignment="1">
      <alignment horizontal="right" vertical="top" wrapText="1"/>
    </xf>
    <xf numFmtId="3" fontId="0" fillId="0" borderId="6" xfId="0" applyNumberFormat="1" applyBorder="1" applyAlignment="1">
      <alignment vertical="top" wrapText="1"/>
    </xf>
    <xf numFmtId="4" fontId="0" fillId="0" borderId="6" xfId="0" applyNumberFormat="1" applyBorder="1" applyAlignment="1">
      <alignment vertical="top" wrapText="1"/>
    </xf>
    <xf numFmtId="166" fontId="0" fillId="0" borderId="6" xfId="0" applyNumberFormat="1" applyBorder="1" applyAlignment="1">
      <alignment vertical="top" wrapText="1"/>
    </xf>
    <xf numFmtId="9" fontId="0" fillId="0" borderId="6" xfId="0" applyNumberFormat="1" applyBorder="1" applyAlignment="1">
      <alignment vertical="top" wrapText="1"/>
    </xf>
    <xf numFmtId="164" fontId="5" fillId="0" borderId="6" xfId="0" applyNumberFormat="1" applyFont="1" applyBorder="1" applyAlignment="1">
      <alignment vertical="top" wrapText="1"/>
    </xf>
    <xf numFmtId="3" fontId="0" fillId="0" borderId="18" xfId="0" applyNumberFormat="1" applyBorder="1" applyAlignment="1">
      <alignment vertical="top" wrapText="1"/>
    </xf>
    <xf numFmtId="3" fontId="0" fillId="0" borderId="19" xfId="0" applyNumberFormat="1" applyBorder="1" applyAlignment="1">
      <alignment vertical="top" wrapText="1"/>
    </xf>
    <xf numFmtId="168" fontId="0" fillId="0" borderId="38" xfId="0" applyNumberFormat="1" applyBorder="1" applyAlignment="1">
      <alignment vertical="top" wrapText="1"/>
    </xf>
    <xf numFmtId="3" fontId="0" fillId="0" borderId="2" xfId="0" applyNumberFormat="1" applyBorder="1" applyAlignment="1">
      <alignment vertical="top" wrapText="1"/>
    </xf>
    <xf numFmtId="3" fontId="0" fillId="0" borderId="3" xfId="0" applyNumberFormat="1" applyBorder="1" applyAlignment="1">
      <alignment vertical="top" wrapText="1"/>
    </xf>
    <xf numFmtId="168" fontId="0" fillId="0" borderId="18" xfId="0" applyNumberFormat="1" applyBorder="1" applyAlignment="1">
      <alignment vertical="top" wrapText="1"/>
    </xf>
    <xf numFmtId="168" fontId="0" fillId="0" borderId="19" xfId="0" applyNumberFormat="1" applyBorder="1" applyAlignment="1">
      <alignment vertical="top" wrapText="1"/>
    </xf>
    <xf numFmtId="3" fontId="0" fillId="0" borderId="32" xfId="0" applyNumberFormat="1" applyBorder="1" applyAlignment="1">
      <alignment vertical="top" wrapText="1"/>
    </xf>
    <xf numFmtId="3" fontId="0" fillId="0" borderId="23" xfId="0" applyNumberFormat="1" applyBorder="1" applyAlignment="1">
      <alignment vertical="top" wrapText="1"/>
    </xf>
    <xf numFmtId="168" fontId="0" fillId="0" borderId="24" xfId="0" applyNumberFormat="1" applyBorder="1" applyAlignment="1">
      <alignment vertical="top" wrapText="1"/>
    </xf>
    <xf numFmtId="3" fontId="0" fillId="0" borderId="39" xfId="0" applyNumberFormat="1" applyBorder="1" applyAlignment="1">
      <alignment vertical="top" wrapText="1"/>
    </xf>
    <xf numFmtId="3" fontId="0" fillId="0" borderId="40" xfId="0" applyNumberFormat="1" applyBorder="1" applyAlignment="1">
      <alignment vertical="top" wrapText="1"/>
    </xf>
    <xf numFmtId="168" fontId="1" fillId="0" borderId="40" xfId="0" applyNumberFormat="1" applyFont="1" applyBorder="1" applyAlignment="1">
      <alignment vertical="top" wrapText="1"/>
    </xf>
    <xf numFmtId="168" fontId="1" fillId="0" borderId="39" xfId="0" applyNumberFormat="1" applyFont="1" applyBorder="1" applyAlignment="1">
      <alignment vertical="top" wrapText="1"/>
    </xf>
    <xf numFmtId="168" fontId="1" fillId="0" borderId="37" xfId="0" applyNumberFormat="1" applyFont="1" applyBorder="1" applyAlignment="1">
      <alignment vertical="top" wrapText="1"/>
    </xf>
    <xf numFmtId="171" fontId="1" fillId="0" borderId="1" xfId="0" applyNumberFormat="1" applyFont="1" applyBorder="1" applyAlignment="1">
      <alignment horizontal="right" vertical="center"/>
    </xf>
    <xf numFmtId="0" fontId="6" fillId="3" borderId="0" xfId="0" applyFont="1" applyFill="1" applyAlignment="1" applyProtection="1">
      <alignment horizontal="center" vertical="center" wrapText="1"/>
      <protection locked="0"/>
    </xf>
    <xf numFmtId="0" fontId="1" fillId="0" borderId="10" xfId="0" applyFont="1" applyBorder="1"/>
    <xf numFmtId="164" fontId="1" fillId="0" borderId="0" xfId="0" applyNumberFormat="1" applyFont="1"/>
    <xf numFmtId="164" fontId="6" fillId="0" borderId="11" xfId="0" applyNumberFormat="1" applyFont="1" applyBorder="1"/>
    <xf numFmtId="9" fontId="0" fillId="0" borderId="0" xfId="0" applyNumberFormat="1"/>
    <xf numFmtId="3" fontId="1" fillId="0" borderId="2" xfId="0" applyNumberFormat="1" applyFont="1" applyBorder="1" applyAlignment="1">
      <alignment vertical="top"/>
    </xf>
    <xf numFmtId="3" fontId="1" fillId="0" borderId="1" xfId="0" applyNumberFormat="1" applyFont="1" applyBorder="1" applyAlignment="1">
      <alignment vertical="top"/>
    </xf>
    <xf numFmtId="164" fontId="1" fillId="0" borderId="23" xfId="0" applyNumberFormat="1" applyFont="1" applyBorder="1" applyAlignment="1">
      <alignment vertical="top"/>
    </xf>
    <xf numFmtId="164" fontId="1" fillId="0" borderId="1" xfId="0" applyNumberFormat="1" applyFont="1" applyBorder="1" applyAlignment="1">
      <alignment vertical="top"/>
    </xf>
    <xf numFmtId="164" fontId="1" fillId="0" borderId="24" xfId="0" applyNumberFormat="1" applyFont="1" applyBorder="1" applyAlignment="1">
      <alignment vertical="top"/>
    </xf>
    <xf numFmtId="164" fontId="1" fillId="0" borderId="18" xfId="0" applyNumberFormat="1" applyFont="1" applyBorder="1" applyAlignment="1">
      <alignment vertical="top"/>
    </xf>
    <xf numFmtId="164" fontId="1" fillId="0" borderId="7" xfId="0" applyNumberFormat="1" applyFont="1" applyBorder="1" applyAlignment="1">
      <alignment vertical="top"/>
    </xf>
    <xf numFmtId="164" fontId="1" fillId="0" borderId="6" xfId="0" applyNumberFormat="1" applyFont="1" applyBorder="1" applyAlignment="1">
      <alignment vertical="top"/>
    </xf>
    <xf numFmtId="0" fontId="21" fillId="0" borderId="0" xfId="2"/>
    <xf numFmtId="164" fontId="1" fillId="0" borderId="0" xfId="0" quotePrefix="1" applyNumberFormat="1" applyFont="1"/>
    <xf numFmtId="9" fontId="1" fillId="0" borderId="7" xfId="0" applyNumberFormat="1" applyFont="1" applyBorder="1" applyAlignment="1">
      <alignment vertical="top"/>
    </xf>
    <xf numFmtId="9" fontId="1" fillId="0" borderId="6" xfId="0" applyNumberFormat="1" applyFont="1" applyBorder="1" applyAlignment="1">
      <alignment vertical="top"/>
    </xf>
    <xf numFmtId="10" fontId="1" fillId="0" borderId="6" xfId="0" applyNumberFormat="1" applyFont="1" applyBorder="1" applyAlignment="1">
      <alignment vertical="top"/>
    </xf>
    <xf numFmtId="0" fontId="1" fillId="0" borderId="1" xfId="0" applyFont="1" applyBorder="1" applyAlignment="1">
      <alignment vertical="top"/>
    </xf>
    <xf numFmtId="0" fontId="1" fillId="0" borderId="7" xfId="0" applyFont="1" applyBorder="1" applyAlignment="1">
      <alignment vertical="top"/>
    </xf>
    <xf numFmtId="1" fontId="1" fillId="0" borderId="7" xfId="0" applyNumberFormat="1" applyFont="1" applyBorder="1" applyAlignment="1">
      <alignment vertical="top"/>
    </xf>
    <xf numFmtId="0" fontId="1" fillId="0" borderId="6" xfId="0" applyFont="1" applyBorder="1" applyAlignment="1">
      <alignment vertical="top"/>
    </xf>
    <xf numFmtId="1" fontId="1" fillId="0" borderId="6" xfId="0" applyNumberFormat="1" applyFont="1" applyBorder="1" applyAlignment="1">
      <alignment vertical="top"/>
    </xf>
    <xf numFmtId="0" fontId="6" fillId="3" borderId="41" xfId="0" applyFont="1" applyFill="1" applyBorder="1" applyAlignment="1">
      <alignment horizontal="center" vertical="center" wrapText="1"/>
    </xf>
    <xf numFmtId="0" fontId="6" fillId="3" borderId="4" xfId="0" applyFont="1" applyFill="1" applyBorder="1" applyAlignment="1">
      <alignment vertical="center" wrapText="1"/>
    </xf>
    <xf numFmtId="0" fontId="6" fillId="3" borderId="9" xfId="0" applyFont="1" applyFill="1" applyBorder="1" applyAlignment="1">
      <alignment vertical="center" wrapText="1"/>
    </xf>
    <xf numFmtId="0" fontId="6" fillId="3" borderId="5" xfId="0" applyFont="1" applyFill="1" applyBorder="1" applyAlignment="1">
      <alignment vertical="center" wrapText="1"/>
    </xf>
    <xf numFmtId="0" fontId="6" fillId="3" borderId="8" xfId="0" applyFont="1" applyFill="1" applyBorder="1" applyAlignment="1">
      <alignment vertical="center" wrapText="1"/>
    </xf>
    <xf numFmtId="0" fontId="6" fillId="3" borderId="33" xfId="0" applyFont="1" applyFill="1" applyBorder="1" applyAlignment="1">
      <alignment vertical="center" wrapText="1"/>
    </xf>
    <xf numFmtId="0" fontId="6" fillId="3" borderId="7" xfId="0" applyFont="1" applyFill="1" applyBorder="1" applyAlignment="1">
      <alignment vertical="center" wrapText="1"/>
    </xf>
    <xf numFmtId="0" fontId="1"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9" fontId="1" fillId="0" borderId="0" xfId="0" applyNumberFormat="1" applyFont="1"/>
    <xf numFmtId="0" fontId="6" fillId="3" borderId="35" xfId="0" applyFont="1" applyFill="1" applyBorder="1" applyAlignment="1">
      <alignment horizontal="center" vertical="center"/>
    </xf>
    <xf numFmtId="0" fontId="6" fillId="3" borderId="30" xfId="0" applyFont="1" applyFill="1" applyBorder="1" applyAlignment="1">
      <alignment horizontal="center" vertical="center"/>
    </xf>
    <xf numFmtId="0" fontId="6" fillId="3" borderId="31" xfId="0" applyFont="1" applyFill="1" applyBorder="1" applyAlignment="1">
      <alignment horizontal="center" vertical="center"/>
    </xf>
    <xf numFmtId="0" fontId="6" fillId="0" borderId="15" xfId="0" applyFont="1" applyBorder="1" applyAlignment="1">
      <alignment horizontal="center"/>
    </xf>
    <xf numFmtId="0" fontId="6" fillId="0" borderId="16" xfId="0" applyFont="1" applyBorder="1" applyAlignment="1">
      <alignment horizontal="center"/>
    </xf>
    <xf numFmtId="164" fontId="6" fillId="0" borderId="16" xfId="0" applyNumberFormat="1" applyFont="1" applyBorder="1" applyAlignment="1">
      <alignment horizontal="center"/>
    </xf>
    <xf numFmtId="0" fontId="6" fillId="0" borderId="17" xfId="0" applyFont="1" applyBorder="1" applyAlignment="1">
      <alignment horizontal="center"/>
    </xf>
    <xf numFmtId="164" fontId="6" fillId="3" borderId="30" xfId="0" applyNumberFormat="1" applyFont="1" applyFill="1" applyBorder="1" applyAlignment="1">
      <alignment horizontal="center" vertical="center" wrapText="1"/>
    </xf>
    <xf numFmtId="0" fontId="6" fillId="0" borderId="0" xfId="0" applyFont="1" applyAlignment="1">
      <alignment horizontal="center" vertical="center"/>
    </xf>
    <xf numFmtId="164" fontId="6" fillId="0" borderId="0" xfId="0" applyNumberFormat="1" applyFont="1" applyAlignment="1">
      <alignment horizontal="center" vertical="center"/>
    </xf>
    <xf numFmtId="0" fontId="0" fillId="0" borderId="10" xfId="0" applyBorder="1" applyAlignment="1">
      <alignment wrapText="1"/>
    </xf>
    <xf numFmtId="0" fontId="6" fillId="0" borderId="0" xfId="0" applyFont="1" applyAlignment="1">
      <alignment horizontal="center" vertical="center" wrapText="1"/>
    </xf>
    <xf numFmtId="164" fontId="6" fillId="0" borderId="0" xfId="0" applyNumberFormat="1" applyFont="1" applyAlignment="1">
      <alignment horizontal="center" vertical="center" wrapText="1"/>
    </xf>
    <xf numFmtId="0" fontId="0" fillId="0" borderId="11" xfId="0" applyBorder="1" applyAlignment="1">
      <alignment wrapText="1"/>
    </xf>
    <xf numFmtId="0" fontId="6" fillId="0" borderId="0" xfId="0" applyFont="1" applyAlignment="1">
      <alignment vertical="center"/>
    </xf>
    <xf numFmtId="164" fontId="6" fillId="0" borderId="0" xfId="0" applyNumberFormat="1" applyFont="1" applyAlignment="1">
      <alignment vertical="center"/>
    </xf>
    <xf numFmtId="0" fontId="6" fillId="0" borderId="16" xfId="0" applyFont="1" applyBorder="1" applyAlignment="1">
      <alignment horizontal="center" vertical="center"/>
    </xf>
    <xf numFmtId="164" fontId="6" fillId="0" borderId="16" xfId="0" applyNumberFormat="1" applyFont="1" applyBorder="1" applyAlignment="1">
      <alignment horizontal="center" vertical="center"/>
    </xf>
    <xf numFmtId="0" fontId="6" fillId="0" borderId="16" xfId="0" applyFont="1" applyBorder="1" applyAlignment="1">
      <alignment horizontal="center" vertical="center" wrapText="1"/>
    </xf>
    <xf numFmtId="164" fontId="6" fillId="0" borderId="16" xfId="0" applyNumberFormat="1" applyFont="1" applyBorder="1" applyAlignment="1">
      <alignment horizontal="center" vertical="center" wrapText="1"/>
    </xf>
    <xf numFmtId="167" fontId="0" fillId="0" borderId="4" xfId="0" applyNumberFormat="1" applyBorder="1" applyAlignment="1">
      <alignment vertical="top" wrapText="1"/>
    </xf>
    <xf numFmtId="3" fontId="0" fillId="0" borderId="4" xfId="0" applyNumberFormat="1" applyBorder="1" applyAlignment="1">
      <alignment vertical="top" wrapText="1"/>
    </xf>
    <xf numFmtId="3" fontId="0" fillId="0" borderId="5" xfId="0" applyNumberFormat="1" applyBorder="1" applyAlignment="1">
      <alignment vertical="top" wrapText="1"/>
    </xf>
    <xf numFmtId="0" fontId="5" fillId="0" borderId="42" xfId="0" applyFont="1" applyBorder="1" applyAlignment="1">
      <alignment horizontal="center" vertical="top" wrapText="1"/>
    </xf>
    <xf numFmtId="0" fontId="5" fillId="0" borderId="43" xfId="0" applyFont="1" applyBorder="1" applyAlignment="1">
      <alignment horizontal="center" vertical="top" wrapText="1"/>
    </xf>
    <xf numFmtId="167" fontId="0" fillId="0" borderId="44" xfId="0" applyNumberFormat="1" applyBorder="1" applyAlignment="1">
      <alignment vertical="top" wrapText="1"/>
    </xf>
    <xf numFmtId="3" fontId="0" fillId="0" borderId="44" xfId="0" applyNumberFormat="1" applyBorder="1" applyAlignment="1">
      <alignment vertical="top" wrapText="1"/>
    </xf>
    <xf numFmtId="169" fontId="0" fillId="0" borderId="44" xfId="0" applyNumberFormat="1" applyBorder="1" applyAlignment="1">
      <alignment vertical="top" wrapText="1"/>
    </xf>
    <xf numFmtId="9" fontId="0" fillId="0" borderId="45" xfId="0" applyNumberFormat="1" applyBorder="1" applyAlignment="1">
      <alignment vertical="top" wrapText="1"/>
    </xf>
    <xf numFmtId="0" fontId="6" fillId="4" borderId="41" xfId="0" applyFont="1" applyFill="1" applyBorder="1" applyAlignment="1">
      <alignment horizontal="center" vertical="center" wrapText="1"/>
    </xf>
    <xf numFmtId="0" fontId="6" fillId="4" borderId="46"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6" fillId="4" borderId="48" xfId="0" applyFont="1" applyFill="1" applyBorder="1" applyAlignment="1">
      <alignment horizontal="center" vertical="center" wrapText="1"/>
    </xf>
    <xf numFmtId="0" fontId="6" fillId="4" borderId="48" xfId="0" applyFont="1" applyFill="1" applyBorder="1" applyAlignment="1">
      <alignment horizontal="center" vertical="top" wrapText="1"/>
    </xf>
    <xf numFmtId="0" fontId="6" fillId="3" borderId="42" xfId="0" applyFont="1" applyFill="1" applyBorder="1" applyAlignment="1">
      <alignment vertical="center" wrapText="1"/>
    </xf>
    <xf numFmtId="164" fontId="1" fillId="0" borderId="49" xfId="0" applyNumberFormat="1" applyFont="1" applyBorder="1" applyAlignment="1">
      <alignment vertical="top"/>
    </xf>
    <xf numFmtId="0" fontId="6" fillId="4" borderId="50"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0" fillId="3" borderId="0" xfId="0" applyFill="1" applyAlignment="1">
      <alignment horizontal="center" vertical="center" wrapText="1"/>
    </xf>
    <xf numFmtId="0" fontId="0" fillId="3" borderId="0" xfId="0" applyFill="1" applyAlignment="1">
      <alignment horizontal="center" vertical="center"/>
    </xf>
    <xf numFmtId="0" fontId="1" fillId="3" borderId="23" xfId="0" applyFont="1" applyFill="1" applyBorder="1" applyAlignment="1">
      <alignment horizontal="center" vertical="center" wrapText="1"/>
    </xf>
    <xf numFmtId="0" fontId="1" fillId="3" borderId="0" xfId="0" applyFont="1" applyFill="1" applyAlignment="1">
      <alignment horizontal="center" vertical="center" wrapText="1"/>
    </xf>
    <xf numFmtId="0" fontId="6" fillId="3" borderId="2" xfId="0" applyFont="1" applyFill="1" applyBorder="1" applyAlignment="1">
      <alignment vertical="center" wrapText="1"/>
    </xf>
    <xf numFmtId="0" fontId="6" fillId="3" borderId="1" xfId="0" applyFont="1" applyFill="1" applyBorder="1" applyAlignment="1">
      <alignment vertical="center" wrapText="1"/>
    </xf>
    <xf numFmtId="0" fontId="6" fillId="3" borderId="29" xfId="0" applyFont="1" applyFill="1" applyBorder="1" applyAlignment="1">
      <alignment vertical="center" wrapText="1"/>
    </xf>
    <xf numFmtId="0" fontId="6" fillId="3" borderId="18" xfId="0" applyFont="1" applyFill="1" applyBorder="1" applyAlignment="1">
      <alignment vertical="center" wrapText="1"/>
    </xf>
    <xf numFmtId="0" fontId="6" fillId="3" borderId="0" xfId="0" applyFont="1" applyFill="1" applyAlignment="1">
      <alignment vertical="center" wrapText="1"/>
    </xf>
    <xf numFmtId="0" fontId="1" fillId="3" borderId="51" xfId="0" applyFont="1" applyFill="1" applyBorder="1" applyAlignment="1">
      <alignment vertical="center" wrapText="1"/>
    </xf>
    <xf numFmtId="0" fontId="1" fillId="3" borderId="52" xfId="0" applyFont="1" applyFill="1" applyBorder="1" applyAlignment="1">
      <alignment vertical="center" wrapText="1"/>
    </xf>
    <xf numFmtId="0" fontId="1" fillId="3" borderId="53" xfId="0" applyFont="1" applyFill="1" applyBorder="1" applyAlignment="1">
      <alignment vertical="center" wrapText="1"/>
    </xf>
    <xf numFmtId="0" fontId="6" fillId="3" borderId="30" xfId="0" applyFont="1" applyFill="1" applyBorder="1" applyAlignment="1">
      <alignment vertical="center" wrapText="1"/>
    </xf>
    <xf numFmtId="0" fontId="1" fillId="3" borderId="21" xfId="0" applyFont="1" applyFill="1" applyBorder="1" applyAlignment="1">
      <alignment vertical="center" wrapText="1"/>
    </xf>
    <xf numFmtId="164" fontId="6" fillId="3" borderId="30" xfId="0" applyNumberFormat="1" applyFont="1" applyFill="1" applyBorder="1" applyAlignment="1">
      <alignment horizontal="left" vertical="center"/>
    </xf>
    <xf numFmtId="0" fontId="6" fillId="3" borderId="41" xfId="0" applyFont="1" applyFill="1" applyBorder="1" applyAlignment="1">
      <alignment horizontal="center" vertical="top" wrapText="1"/>
    </xf>
    <xf numFmtId="0" fontId="6" fillId="3" borderId="54" xfId="0" applyFont="1" applyFill="1" applyBorder="1" applyAlignment="1">
      <alignment horizontal="center" vertical="top" wrapText="1"/>
    </xf>
    <xf numFmtId="0" fontId="6" fillId="3" borderId="47" xfId="0" applyFont="1" applyFill="1" applyBorder="1" applyAlignment="1">
      <alignment horizontal="center" vertical="top" wrapText="1"/>
    </xf>
    <xf numFmtId="0" fontId="6" fillId="3" borderId="50" xfId="0" applyFont="1" applyFill="1" applyBorder="1" applyAlignment="1">
      <alignment horizontal="center" vertical="top" wrapText="1"/>
    </xf>
    <xf numFmtId="0" fontId="6" fillId="3" borderId="35" xfId="0" applyFont="1" applyFill="1" applyBorder="1" applyAlignment="1">
      <alignment horizontal="center" vertical="center" wrapText="1"/>
    </xf>
    <xf numFmtId="2" fontId="1" fillId="3" borderId="0" xfId="0" applyNumberFormat="1" applyFont="1" applyFill="1"/>
    <xf numFmtId="0" fontId="1" fillId="0" borderId="0" xfId="0" quotePrefix="1" applyFont="1"/>
    <xf numFmtId="164" fontId="1" fillId="0" borderId="11" xfId="0" applyNumberFormat="1" applyFont="1" applyBorder="1"/>
    <xf numFmtId="0" fontId="1" fillId="0" borderId="51" xfId="0" applyFont="1" applyBorder="1"/>
    <xf numFmtId="2" fontId="6" fillId="3" borderId="0" xfId="0" applyNumberFormat="1" applyFont="1" applyFill="1"/>
    <xf numFmtId="0" fontId="1" fillId="0" borderId="20" xfId="0" applyFont="1" applyBorder="1" applyAlignment="1">
      <alignment vertical="top"/>
    </xf>
    <xf numFmtId="9" fontId="1" fillId="0" borderId="1" xfId="0" applyNumberFormat="1" applyFont="1" applyBorder="1" applyAlignment="1">
      <alignment vertical="top"/>
    </xf>
    <xf numFmtId="1" fontId="1" fillId="3" borderId="7" xfId="0" applyNumberFormat="1" applyFont="1" applyFill="1" applyBorder="1" applyAlignment="1">
      <alignment vertical="top"/>
    </xf>
    <xf numFmtId="164" fontId="1" fillId="3" borderId="1" xfId="0" applyNumberFormat="1" applyFont="1" applyFill="1" applyBorder="1" applyAlignment="1">
      <alignment vertical="top"/>
    </xf>
    <xf numFmtId="164" fontId="1" fillId="3" borderId="6" xfId="0" applyNumberFormat="1" applyFont="1" applyFill="1" applyBorder="1" applyAlignment="1">
      <alignment vertical="top"/>
    </xf>
    <xf numFmtId="0" fontId="1" fillId="3" borderId="7" xfId="0" applyFont="1" applyFill="1" applyBorder="1" applyAlignment="1">
      <alignment vertical="top"/>
    </xf>
    <xf numFmtId="0" fontId="1" fillId="0" borderId="55" xfId="0" applyFont="1" applyBorder="1" applyAlignment="1">
      <alignment vertical="top"/>
    </xf>
    <xf numFmtId="0" fontId="1" fillId="0" borderId="18" xfId="0" applyFont="1" applyBorder="1" applyAlignment="1">
      <alignment vertical="top"/>
    </xf>
    <xf numFmtId="0" fontId="1" fillId="0" borderId="19" xfId="0" applyFont="1" applyBorder="1" applyAlignment="1">
      <alignment vertical="top"/>
    </xf>
    <xf numFmtId="0" fontId="1" fillId="0" borderId="34" xfId="0" applyFont="1" applyBorder="1" applyAlignment="1">
      <alignment vertical="top"/>
    </xf>
    <xf numFmtId="0" fontId="19" fillId="3" borderId="0" xfId="0" applyFont="1" applyFill="1" applyAlignment="1">
      <alignment horizontal="center" vertical="center" wrapText="1"/>
    </xf>
    <xf numFmtId="0" fontId="22" fillId="3" borderId="0" xfId="1" applyFill="1" applyBorder="1" applyAlignment="1">
      <alignment horizontal="center" vertical="center" wrapText="1"/>
    </xf>
    <xf numFmtId="0" fontId="0" fillId="5" borderId="1" xfId="0" applyFill="1" applyBorder="1" applyAlignment="1">
      <alignment wrapText="1"/>
    </xf>
    <xf numFmtId="1" fontId="23" fillId="0" borderId="1" xfId="0" applyNumberFormat="1" applyFont="1" applyBorder="1" applyAlignment="1">
      <alignment wrapText="1"/>
    </xf>
    <xf numFmtId="0" fontId="23" fillId="0" borderId="1" xfId="0" applyFont="1" applyBorder="1" applyAlignment="1">
      <alignment wrapText="1"/>
    </xf>
    <xf numFmtId="0" fontId="1" fillId="5" borderId="1" xfId="0" applyFont="1" applyFill="1" applyBorder="1" applyAlignment="1">
      <alignment wrapText="1"/>
    </xf>
    <xf numFmtId="2" fontId="6" fillId="5" borderId="1" xfId="0" applyNumberFormat="1" applyFont="1" applyFill="1" applyBorder="1" applyAlignment="1">
      <alignment wrapText="1"/>
    </xf>
    <xf numFmtId="0" fontId="24" fillId="0" borderId="1" xfId="0" applyFont="1" applyBorder="1" applyAlignment="1">
      <alignment wrapText="1"/>
    </xf>
    <xf numFmtId="0" fontId="25" fillId="0" borderId="1" xfId="0" applyFont="1" applyBorder="1" applyAlignment="1">
      <alignment wrapText="1"/>
    </xf>
    <xf numFmtId="10" fontId="6" fillId="0" borderId="0" xfId="0" applyNumberFormat="1" applyFont="1"/>
    <xf numFmtId="0" fontId="1" fillId="0" borderId="1" xfId="0" applyFont="1" applyBorder="1" applyAlignment="1">
      <alignment wrapText="1"/>
    </xf>
    <xf numFmtId="0" fontId="6" fillId="3" borderId="8" xfId="0" applyFont="1" applyFill="1" applyBorder="1" applyAlignment="1">
      <alignment horizontal="center" vertical="center" wrapText="1"/>
    </xf>
    <xf numFmtId="0" fontId="6" fillId="3" borderId="56" xfId="0" applyFont="1" applyFill="1" applyBorder="1" applyAlignment="1">
      <alignment horizontal="center" vertical="center" wrapText="1"/>
    </xf>
    <xf numFmtId="0" fontId="6" fillId="3" borderId="38" xfId="0" applyFont="1" applyFill="1" applyBorder="1" applyAlignment="1">
      <alignment vertical="center" wrapText="1"/>
    </xf>
    <xf numFmtId="0" fontId="1" fillId="3" borderId="36" xfId="0" applyFont="1" applyFill="1" applyBorder="1" applyAlignment="1">
      <alignment wrapText="1"/>
    </xf>
    <xf numFmtId="0" fontId="0" fillId="0" borderId="3" xfId="0" applyBorder="1"/>
    <xf numFmtId="0" fontId="6" fillId="3" borderId="57" xfId="0" applyFont="1" applyFill="1" applyBorder="1" applyAlignment="1">
      <alignment vertical="center" wrapText="1"/>
    </xf>
    <xf numFmtId="0" fontId="6" fillId="3" borderId="44" xfId="0" applyFont="1" applyFill="1" applyBorder="1" applyAlignment="1">
      <alignment vertical="center" wrapText="1"/>
    </xf>
    <xf numFmtId="0" fontId="6" fillId="3" borderId="9" xfId="0" quotePrefix="1" applyFont="1" applyFill="1" applyBorder="1" applyAlignment="1">
      <alignment horizontal="center" vertical="center"/>
    </xf>
    <xf numFmtId="172" fontId="1" fillId="0" borderId="1" xfId="0" applyNumberFormat="1" applyFont="1" applyBorder="1" applyAlignment="1">
      <alignment horizontal="right" vertical="center"/>
    </xf>
    <xf numFmtId="0" fontId="6" fillId="3" borderId="3" xfId="0" applyFont="1" applyFill="1" applyBorder="1" applyAlignment="1">
      <alignment horizontal="center" vertical="center"/>
    </xf>
    <xf numFmtId="0" fontId="6" fillId="3" borderId="58" xfId="0" applyFont="1" applyFill="1" applyBorder="1" applyAlignment="1">
      <alignment vertical="center" wrapText="1"/>
    </xf>
    <xf numFmtId="0" fontId="1" fillId="6" borderId="20" xfId="0" applyFont="1" applyFill="1" applyBorder="1" applyAlignment="1">
      <alignment wrapText="1"/>
    </xf>
    <xf numFmtId="0" fontId="1" fillId="6" borderId="1" xfId="0" applyFont="1" applyFill="1" applyBorder="1" applyAlignment="1">
      <alignment wrapText="1"/>
    </xf>
    <xf numFmtId="3" fontId="1" fillId="0" borderId="32" xfId="0" applyNumberFormat="1" applyFont="1" applyBorder="1" applyAlignment="1">
      <alignment vertical="top"/>
    </xf>
    <xf numFmtId="3" fontId="1" fillId="0" borderId="23" xfId="0" applyNumberFormat="1" applyFont="1" applyBorder="1" applyAlignment="1">
      <alignment vertical="top"/>
    </xf>
    <xf numFmtId="164" fontId="1" fillId="0" borderId="21" xfId="0" applyNumberFormat="1" applyFont="1" applyBorder="1" applyAlignment="1">
      <alignment vertical="top"/>
    </xf>
    <xf numFmtId="173" fontId="1" fillId="3" borderId="21" xfId="0" applyNumberFormat="1" applyFont="1" applyFill="1" applyBorder="1" applyAlignment="1">
      <alignment horizontal="right" vertical="center"/>
    </xf>
    <xf numFmtId="173" fontId="1" fillId="3" borderId="3" xfId="0" applyNumberFormat="1" applyFont="1" applyFill="1" applyBorder="1" applyAlignment="1">
      <alignment horizontal="right" vertical="center"/>
    </xf>
    <xf numFmtId="171" fontId="1" fillId="0" borderId="18" xfId="0" applyNumberFormat="1" applyFont="1" applyBorder="1" applyAlignment="1">
      <alignment horizontal="right" vertical="center"/>
    </xf>
    <xf numFmtId="0" fontId="6" fillId="7" borderId="7" xfId="0" applyFont="1" applyFill="1" applyBorder="1"/>
    <xf numFmtId="0" fontId="0" fillId="7" borderId="1" xfId="0" applyFill="1" applyBorder="1"/>
    <xf numFmtId="0" fontId="11" fillId="7" borderId="7" xfId="0" applyFont="1" applyFill="1" applyBorder="1"/>
    <xf numFmtId="0" fontId="12" fillId="7" borderId="1" xfId="0" applyFont="1" applyFill="1" applyBorder="1"/>
    <xf numFmtId="0" fontId="6" fillId="7" borderId="1" xfId="0" applyFont="1" applyFill="1" applyBorder="1"/>
    <xf numFmtId="3" fontId="0" fillId="0" borderId="57" xfId="0" applyNumberFormat="1" applyBorder="1"/>
    <xf numFmtId="3" fontId="0" fillId="0" borderId="44" xfId="0" applyNumberFormat="1" applyBorder="1"/>
    <xf numFmtId="0" fontId="5" fillId="3" borderId="23" xfId="0" applyFont="1" applyFill="1" applyBorder="1"/>
    <xf numFmtId="0" fontId="1" fillId="3" borderId="23" xfId="0" applyFont="1" applyFill="1" applyBorder="1"/>
    <xf numFmtId="3" fontId="5" fillId="0" borderId="6" xfId="0" applyNumberFormat="1" applyFont="1" applyBorder="1"/>
    <xf numFmtId="4" fontId="5" fillId="0" borderId="6" xfId="0" applyNumberFormat="1" applyFont="1" applyBorder="1"/>
    <xf numFmtId="3" fontId="13" fillId="0" borderId="6" xfId="0" applyNumberFormat="1" applyFont="1" applyBorder="1"/>
    <xf numFmtId="4" fontId="0" fillId="0" borderId="6" xfId="0" applyNumberFormat="1" applyBorder="1"/>
    <xf numFmtId="9" fontId="0" fillId="0" borderId="6" xfId="0" applyNumberFormat="1" applyBorder="1"/>
    <xf numFmtId="166" fontId="0" fillId="0" borderId="6" xfId="0" applyNumberFormat="1" applyBorder="1"/>
    <xf numFmtId="0" fontId="5" fillId="3" borderId="24" xfId="0" applyFont="1" applyFill="1" applyBorder="1"/>
    <xf numFmtId="0" fontId="0" fillId="3" borderId="18" xfId="0" applyFill="1" applyBorder="1"/>
    <xf numFmtId="4" fontId="0" fillId="0" borderId="19" xfId="0" applyNumberFormat="1" applyBorder="1"/>
    <xf numFmtId="0" fontId="6" fillId="7" borderId="41" xfId="0" applyFont="1" applyFill="1" applyBorder="1" applyAlignment="1">
      <alignment horizontal="center" vertical="center" wrapText="1"/>
    </xf>
    <xf numFmtId="0" fontId="6" fillId="7" borderId="46" xfId="0" applyFont="1" applyFill="1" applyBorder="1" applyAlignment="1">
      <alignment horizontal="center" vertical="center" wrapText="1"/>
    </xf>
    <xf numFmtId="0" fontId="6" fillId="7" borderId="47" xfId="0" applyFont="1" applyFill="1" applyBorder="1" applyAlignment="1">
      <alignment horizontal="center" vertical="center" wrapText="1"/>
    </xf>
    <xf numFmtId="0" fontId="6" fillId="7" borderId="50" xfId="0" applyFont="1" applyFill="1" applyBorder="1" applyAlignment="1">
      <alignment horizontal="center" vertical="center" wrapText="1"/>
    </xf>
    <xf numFmtId="0" fontId="6" fillId="7" borderId="42" xfId="0" applyFont="1" applyFill="1" applyBorder="1"/>
    <xf numFmtId="0" fontId="6" fillId="7" borderId="4" xfId="0" applyFont="1" applyFill="1" applyBorder="1"/>
    <xf numFmtId="0" fontId="6" fillId="7" borderId="5" xfId="0" applyFont="1" applyFill="1" applyBorder="1"/>
    <xf numFmtId="9" fontId="6" fillId="7" borderId="19" xfId="0" applyNumberFormat="1" applyFont="1" applyFill="1" applyBorder="1" applyProtection="1">
      <protection locked="0"/>
    </xf>
    <xf numFmtId="49" fontId="1" fillId="0" borderId="0" xfId="0" applyNumberFormat="1" applyFont="1" applyAlignment="1">
      <alignment horizontal="left"/>
    </xf>
    <xf numFmtId="170" fontId="0" fillId="0" borderId="0" xfId="0" applyNumberFormat="1" applyAlignment="1">
      <alignment horizontal="left"/>
    </xf>
    <xf numFmtId="0" fontId="1" fillId="8" borderId="54" xfId="0" applyFont="1" applyFill="1" applyBorder="1" applyAlignment="1">
      <alignment vertical="top" wrapText="1"/>
    </xf>
    <xf numFmtId="3" fontId="6" fillId="9" borderId="9" xfId="0" applyNumberFormat="1" applyFont="1" applyFill="1" applyBorder="1" applyAlignment="1">
      <alignment vertical="top" wrapText="1"/>
    </xf>
    <xf numFmtId="3" fontId="6" fillId="9" borderId="4" xfId="0" applyNumberFormat="1" applyFont="1" applyFill="1" applyBorder="1" applyAlignment="1">
      <alignment vertical="top" wrapText="1"/>
    </xf>
    <xf numFmtId="3" fontId="6" fillId="9" borderId="5" xfId="0" applyNumberFormat="1" applyFont="1" applyFill="1" applyBorder="1" applyAlignment="1">
      <alignment vertical="top" wrapText="1"/>
    </xf>
    <xf numFmtId="0" fontId="6" fillId="9" borderId="59" xfId="0" applyFont="1" applyFill="1" applyBorder="1" applyAlignment="1">
      <alignment vertical="top" wrapText="1"/>
    </xf>
    <xf numFmtId="0" fontId="6" fillId="9" borderId="60" xfId="0" applyFont="1" applyFill="1" applyBorder="1" applyAlignment="1">
      <alignment vertical="top" wrapText="1"/>
    </xf>
    <xf numFmtId="0" fontId="6" fillId="9" borderId="41" xfId="0" applyFont="1" applyFill="1" applyBorder="1" applyAlignment="1">
      <alignment vertical="top" wrapText="1"/>
    </xf>
    <xf numFmtId="10" fontId="6" fillId="9" borderId="60" xfId="0" applyNumberFormat="1" applyFont="1" applyFill="1" applyBorder="1" applyAlignment="1">
      <alignment vertical="top" wrapText="1"/>
    </xf>
    <xf numFmtId="3" fontId="0" fillId="8" borderId="61" xfId="0" applyNumberFormat="1" applyFill="1" applyBorder="1" applyAlignment="1">
      <alignment vertical="top" wrapText="1"/>
    </xf>
    <xf numFmtId="3" fontId="0" fillId="8" borderId="62" xfId="0" applyNumberFormat="1" applyFill="1" applyBorder="1" applyAlignment="1">
      <alignment vertical="top" wrapText="1"/>
    </xf>
    <xf numFmtId="3" fontId="0" fillId="8" borderId="63" xfId="0" applyNumberFormat="1" applyFill="1" applyBorder="1" applyAlignment="1">
      <alignment vertical="top" wrapText="1"/>
    </xf>
    <xf numFmtId="9" fontId="6" fillId="8" borderId="46" xfId="0" applyNumberFormat="1" applyFont="1" applyFill="1" applyBorder="1" applyAlignment="1">
      <alignment vertical="top" wrapText="1"/>
    </xf>
    <xf numFmtId="9" fontId="6" fillId="8" borderId="47" xfId="0" applyNumberFormat="1" applyFont="1" applyFill="1" applyBorder="1" applyAlignment="1">
      <alignment vertical="top" wrapText="1"/>
    </xf>
    <xf numFmtId="9" fontId="6" fillId="8" borderId="50" xfId="0" applyNumberFormat="1" applyFont="1" applyFill="1" applyBorder="1" applyAlignment="1">
      <alignment vertical="top" wrapText="1"/>
    </xf>
    <xf numFmtId="168" fontId="0" fillId="8" borderId="61" xfId="0" applyNumberFormat="1" applyFill="1" applyBorder="1" applyAlignment="1">
      <alignment vertical="top" wrapText="1"/>
    </xf>
    <xf numFmtId="168" fontId="0" fillId="8" borderId="62" xfId="0" applyNumberFormat="1" applyFill="1" applyBorder="1" applyAlignment="1">
      <alignment vertical="top" wrapText="1"/>
    </xf>
    <xf numFmtId="168" fontId="0" fillId="8" borderId="63" xfId="0" applyNumberFormat="1" applyFill="1" applyBorder="1" applyAlignment="1">
      <alignment vertical="top" wrapText="1"/>
    </xf>
    <xf numFmtId="9" fontId="6" fillId="8" borderId="40" xfId="0" applyNumberFormat="1" applyFont="1" applyFill="1" applyBorder="1" applyAlignment="1">
      <alignment vertical="top" wrapText="1"/>
    </xf>
    <xf numFmtId="9" fontId="6" fillId="8" borderId="39" xfId="0" applyNumberFormat="1" applyFont="1" applyFill="1" applyBorder="1" applyAlignment="1">
      <alignment vertical="top" wrapText="1"/>
    </xf>
    <xf numFmtId="9" fontId="6" fillId="8" borderId="37" xfId="0" applyNumberFormat="1" applyFont="1" applyFill="1" applyBorder="1" applyAlignment="1">
      <alignment vertical="top" wrapText="1"/>
    </xf>
    <xf numFmtId="0" fontId="6" fillId="10" borderId="1" xfId="0" applyFont="1" applyFill="1" applyBorder="1" applyAlignment="1">
      <alignment horizontal="center" wrapText="1"/>
    </xf>
    <xf numFmtId="0" fontId="6" fillId="10" borderId="31" xfId="0" applyFont="1" applyFill="1" applyBorder="1" applyAlignment="1">
      <alignment horizontal="center" vertical="center" wrapText="1"/>
    </xf>
    <xf numFmtId="0" fontId="6" fillId="10" borderId="41" xfId="0" applyFont="1" applyFill="1" applyBorder="1" applyAlignment="1">
      <alignment horizontal="center" vertical="center" wrapText="1"/>
    </xf>
    <xf numFmtId="0" fontId="0" fillId="9" borderId="33" xfId="0" applyFill="1" applyBorder="1" applyAlignment="1">
      <alignment vertical="top" wrapText="1"/>
    </xf>
    <xf numFmtId="0" fontId="0" fillId="9" borderId="7" xfId="0" applyFill="1" applyBorder="1" applyAlignment="1">
      <alignment vertical="top" wrapText="1"/>
    </xf>
    <xf numFmtId="0" fontId="5" fillId="9" borderId="7" xfId="0" applyFont="1" applyFill="1" applyBorder="1" applyAlignment="1">
      <alignment vertical="top" wrapText="1"/>
    </xf>
    <xf numFmtId="0" fontId="5" fillId="9" borderId="34" xfId="0" applyFont="1" applyFill="1" applyBorder="1" applyAlignment="1">
      <alignment vertical="top" wrapText="1"/>
    </xf>
    <xf numFmtId="0" fontId="6" fillId="9" borderId="1" xfId="0" applyFont="1" applyFill="1" applyBorder="1" applyAlignment="1">
      <alignment vertical="top" wrapText="1"/>
    </xf>
    <xf numFmtId="0" fontId="1" fillId="0" borderId="1" xfId="0" applyFont="1" applyBorder="1" applyAlignment="1">
      <alignment vertical="center" wrapText="1"/>
    </xf>
    <xf numFmtId="0" fontId="1" fillId="3" borderId="64"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3" borderId="33" xfId="0" applyFont="1" applyFill="1" applyBorder="1" applyAlignment="1">
      <alignment wrapText="1"/>
    </xf>
    <xf numFmtId="0" fontId="1" fillId="0" borderId="16" xfId="0" applyFont="1" applyBorder="1"/>
    <xf numFmtId="0" fontId="1" fillId="0" borderId="17" xfId="0" applyFont="1" applyBorder="1"/>
    <xf numFmtId="0" fontId="1" fillId="3" borderId="7" xfId="0" applyFont="1" applyFill="1" applyBorder="1" applyAlignment="1">
      <alignment wrapText="1"/>
    </xf>
    <xf numFmtId="0" fontId="1" fillId="0" borderId="11" xfId="0" applyFont="1" applyBorder="1"/>
    <xf numFmtId="0" fontId="0" fillId="3" borderId="7" xfId="0" applyFill="1" applyBorder="1"/>
    <xf numFmtId="0" fontId="0" fillId="3" borderId="34" xfId="0" applyFill="1" applyBorder="1"/>
    <xf numFmtId="0" fontId="6" fillId="3" borderId="30"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0" fillId="3" borderId="26" xfId="0" applyFill="1" applyBorder="1"/>
    <xf numFmtId="0" fontId="0" fillId="3" borderId="27" xfId="0" applyFill="1" applyBorder="1"/>
    <xf numFmtId="0" fontId="1" fillId="0" borderId="15" xfId="0" applyFont="1" applyBorder="1" applyAlignment="1">
      <alignment wrapText="1"/>
    </xf>
    <xf numFmtId="0" fontId="1" fillId="0" borderId="10" xfId="0" applyFont="1" applyBorder="1" applyAlignment="1">
      <alignment wrapText="1"/>
    </xf>
    <xf numFmtId="0" fontId="1" fillId="0" borderId="12" xfId="0" applyFont="1" applyBorder="1" applyAlignment="1">
      <alignment wrapText="1"/>
    </xf>
    <xf numFmtId="9" fontId="1" fillId="3" borderId="26" xfId="0" applyNumberFormat="1" applyFont="1" applyFill="1" applyBorder="1" applyAlignment="1">
      <alignment wrapText="1"/>
    </xf>
    <xf numFmtId="0" fontId="0" fillId="3" borderId="26" xfId="0" applyFill="1" applyBorder="1" applyAlignment="1">
      <alignment wrapText="1"/>
    </xf>
    <xf numFmtId="9" fontId="0" fillId="0" borderId="13" xfId="0" applyNumberFormat="1" applyBorder="1"/>
    <xf numFmtId="9" fontId="1" fillId="0" borderId="13" xfId="0" applyNumberFormat="1" applyFont="1" applyBorder="1"/>
    <xf numFmtId="164" fontId="26" fillId="3" borderId="3" xfId="0" applyNumberFormat="1" applyFont="1" applyFill="1" applyBorder="1" applyAlignment="1">
      <alignment wrapText="1"/>
    </xf>
    <xf numFmtId="0" fontId="1" fillId="0" borderId="4" xfId="0" applyFont="1" applyBorder="1" applyAlignment="1">
      <alignment vertical="top" wrapText="1"/>
    </xf>
    <xf numFmtId="0" fontId="1" fillId="0" borderId="42" xfId="0" applyFont="1" applyBorder="1" applyAlignment="1">
      <alignment vertical="top" wrapText="1"/>
    </xf>
    <xf numFmtId="9" fontId="0" fillId="0" borderId="11" xfId="0" applyNumberFormat="1" applyBorder="1"/>
    <xf numFmtId="9" fontId="0" fillId="0" borderId="14" xfId="0" applyNumberFormat="1" applyBorder="1"/>
    <xf numFmtId="171" fontId="1" fillId="0" borderId="29" xfId="0" applyNumberFormat="1" applyFont="1" applyBorder="1" applyAlignment="1">
      <alignment horizontal="right" vertical="center"/>
    </xf>
    <xf numFmtId="173" fontId="1" fillId="3" borderId="50" xfId="0" applyNumberFormat="1" applyFont="1" applyFill="1" applyBorder="1" applyAlignment="1">
      <alignment horizontal="right" vertical="center"/>
    </xf>
    <xf numFmtId="0" fontId="6" fillId="3" borderId="65" xfId="0" applyFont="1" applyFill="1" applyBorder="1" applyAlignment="1">
      <alignment vertical="center" wrapText="1"/>
    </xf>
    <xf numFmtId="173" fontId="1" fillId="3" borderId="63" xfId="0" applyNumberFormat="1" applyFont="1" applyFill="1" applyBorder="1" applyAlignment="1">
      <alignment horizontal="right" vertical="center"/>
    </xf>
    <xf numFmtId="0" fontId="6" fillId="3" borderId="20" xfId="0" applyFont="1" applyFill="1" applyBorder="1" applyAlignment="1">
      <alignment vertical="center" wrapText="1"/>
    </xf>
    <xf numFmtId="171" fontId="1" fillId="0" borderId="20" xfId="0" applyNumberFormat="1" applyFont="1" applyBorder="1" applyAlignment="1">
      <alignment horizontal="right" vertical="center"/>
    </xf>
    <xf numFmtId="171" fontId="1" fillId="0" borderId="30" xfId="0" applyNumberFormat="1" applyFont="1" applyBorder="1" applyAlignment="1">
      <alignment horizontal="right" vertical="center"/>
    </xf>
    <xf numFmtId="173" fontId="1" fillId="3" borderId="31" xfId="0" applyNumberFormat="1" applyFont="1" applyFill="1" applyBorder="1" applyAlignment="1">
      <alignment horizontal="right" vertical="center"/>
    </xf>
    <xf numFmtId="173" fontId="27" fillId="3" borderId="3" xfId="0" applyNumberFormat="1" applyFont="1" applyFill="1" applyBorder="1" applyAlignment="1">
      <alignment horizontal="right" vertical="center"/>
    </xf>
    <xf numFmtId="0" fontId="6" fillId="3" borderId="23" xfId="0" applyFont="1" applyFill="1" applyBorder="1"/>
    <xf numFmtId="0" fontId="28" fillId="0" borderId="59" xfId="0" applyFont="1" applyBorder="1" applyAlignment="1">
      <alignment wrapText="1"/>
    </xf>
    <xf numFmtId="0" fontId="28" fillId="0" borderId="0" xfId="0" applyFont="1" applyAlignment="1">
      <alignment wrapText="1"/>
    </xf>
    <xf numFmtId="0" fontId="0" fillId="0" borderId="48" xfId="0" applyBorder="1" applyAlignment="1">
      <alignment wrapText="1"/>
    </xf>
    <xf numFmtId="0" fontId="28" fillId="0" borderId="48" xfId="0" applyFont="1" applyBorder="1"/>
    <xf numFmtId="0" fontId="28" fillId="0" borderId="0" xfId="0" applyFont="1"/>
    <xf numFmtId="0" fontId="29" fillId="0" borderId="0" xfId="0" applyFont="1" applyAlignment="1">
      <alignment wrapText="1"/>
    </xf>
    <xf numFmtId="0" fontId="30" fillId="0" borderId="0" xfId="0" applyFont="1"/>
    <xf numFmtId="0" fontId="30" fillId="0" borderId="0" xfId="0" applyFont="1" applyAlignment="1">
      <alignment vertical="top"/>
    </xf>
    <xf numFmtId="0" fontId="30" fillId="0" borderId="0" xfId="0" applyFont="1" applyAlignment="1">
      <alignment wrapText="1"/>
    </xf>
    <xf numFmtId="3" fontId="30" fillId="0" borderId="0" xfId="0" applyNumberFormat="1" applyFont="1"/>
    <xf numFmtId="0" fontId="1" fillId="0" borderId="8" xfId="0" applyFont="1" applyBorder="1" applyAlignment="1">
      <alignment vertical="top" wrapText="1"/>
    </xf>
    <xf numFmtId="0" fontId="33" fillId="0" borderId="0" xfId="5" applyFont="1" applyAlignment="1">
      <alignment wrapText="1"/>
    </xf>
    <xf numFmtId="17" fontId="0" fillId="0" borderId="48" xfId="0" applyNumberFormat="1" applyBorder="1" applyAlignment="1">
      <alignment horizontal="left" wrapText="1"/>
    </xf>
    <xf numFmtId="0" fontId="6" fillId="7" borderId="59" xfId="0" applyFont="1" applyFill="1" applyBorder="1" applyAlignment="1">
      <alignment horizontal="center" vertical="center" wrapText="1"/>
    </xf>
    <xf numFmtId="0" fontId="0" fillId="0" borderId="60" xfId="0" applyBorder="1"/>
    <xf numFmtId="3" fontId="0" fillId="0" borderId="28" xfId="0" applyNumberFormat="1" applyBorder="1"/>
    <xf numFmtId="3" fontId="0" fillId="0" borderId="26" xfId="0" applyNumberFormat="1" applyBorder="1"/>
    <xf numFmtId="0" fontId="0" fillId="0" borderId="9" xfId="0" applyBorder="1"/>
    <xf numFmtId="0" fontId="0" fillId="0" borderId="4" xfId="0" applyBorder="1"/>
    <xf numFmtId="0" fontId="0" fillId="0" borderId="35" xfId="0" applyBorder="1" applyAlignment="1">
      <alignment horizontal="center"/>
    </xf>
    <xf numFmtId="0" fontId="0" fillId="0" borderId="30" xfId="0" applyBorder="1" applyAlignment="1">
      <alignment horizontal="center"/>
    </xf>
    <xf numFmtId="0" fontId="7" fillId="11" borderId="16" xfId="0" applyFont="1" applyFill="1" applyBorder="1" applyAlignment="1">
      <alignment horizontal="center" vertical="center"/>
    </xf>
    <xf numFmtId="0" fontId="7" fillId="11" borderId="17" xfId="0" applyFont="1" applyFill="1" applyBorder="1" applyAlignment="1">
      <alignment horizontal="center" vertical="center"/>
    </xf>
    <xf numFmtId="0" fontId="6" fillId="7" borderId="15" xfId="0" applyFont="1" applyFill="1" applyBorder="1" applyAlignment="1">
      <alignment horizontal="center" vertical="center"/>
    </xf>
    <xf numFmtId="0" fontId="6" fillId="7" borderId="17" xfId="0" applyFont="1" applyFill="1" applyBorder="1" applyAlignment="1">
      <alignment horizontal="center" vertical="center"/>
    </xf>
    <xf numFmtId="0" fontId="6" fillId="7" borderId="10" xfId="0" applyFont="1" applyFill="1" applyBorder="1" applyAlignment="1">
      <alignment horizontal="center" vertical="center"/>
    </xf>
    <xf numFmtId="0" fontId="6" fillId="7" borderId="11" xfId="0" applyFont="1" applyFill="1" applyBorder="1" applyAlignment="1">
      <alignment horizontal="center" vertical="center"/>
    </xf>
    <xf numFmtId="0" fontId="6" fillId="7" borderId="12" xfId="0" applyFont="1" applyFill="1" applyBorder="1" applyAlignment="1">
      <alignment horizontal="center" vertical="center"/>
    </xf>
    <xf numFmtId="0" fontId="6" fillId="7" borderId="14" xfId="0" applyFont="1" applyFill="1" applyBorder="1" applyAlignment="1">
      <alignment horizontal="center" vertical="center"/>
    </xf>
    <xf numFmtId="0" fontId="6" fillId="11" borderId="35" xfId="0" applyFont="1" applyFill="1" applyBorder="1" applyAlignment="1">
      <alignment horizontal="center"/>
    </xf>
    <xf numFmtId="0" fontId="6" fillId="11" borderId="30" xfId="0" applyFont="1" applyFill="1" applyBorder="1" applyAlignment="1">
      <alignment horizontal="center"/>
    </xf>
    <xf numFmtId="0" fontId="6" fillId="11" borderId="31" xfId="0" applyFont="1" applyFill="1" applyBorder="1" applyAlignment="1">
      <alignment horizontal="center"/>
    </xf>
    <xf numFmtId="0" fontId="0" fillId="0" borderId="31" xfId="0" applyBorder="1" applyAlignment="1">
      <alignment horizontal="center"/>
    </xf>
    <xf numFmtId="0" fontId="6" fillId="7" borderId="7" xfId="0" applyFont="1" applyFill="1" applyBorder="1"/>
    <xf numFmtId="0" fontId="6" fillId="7" borderId="1" xfId="0" applyFont="1" applyFill="1" applyBorder="1"/>
    <xf numFmtId="0" fontId="31" fillId="7" borderId="23" xfId="0" applyFont="1" applyFill="1" applyBorder="1" applyAlignment="1">
      <alignment horizontal="left"/>
    </xf>
    <xf numFmtId="0" fontId="31" fillId="7" borderId="1" xfId="0" applyFont="1" applyFill="1" applyBorder="1" applyAlignment="1">
      <alignment horizontal="left"/>
    </xf>
    <xf numFmtId="0" fontId="5" fillId="3" borderId="52" xfId="0" applyFont="1" applyFill="1" applyBorder="1" applyAlignment="1">
      <alignment horizontal="left"/>
    </xf>
    <xf numFmtId="0" fontId="5" fillId="3" borderId="23" xfId="0" applyFont="1" applyFill="1" applyBorder="1" applyAlignment="1">
      <alignment horizontal="left"/>
    </xf>
    <xf numFmtId="0" fontId="1" fillId="0" borderId="15" xfId="0" applyFont="1" applyBorder="1" applyAlignment="1">
      <alignment horizontal="center" wrapText="1"/>
    </xf>
    <xf numFmtId="0" fontId="1" fillId="0" borderId="16" xfId="0" applyFont="1" applyBorder="1" applyAlignment="1">
      <alignment horizontal="center" wrapText="1"/>
    </xf>
    <xf numFmtId="0" fontId="1" fillId="0" borderId="17" xfId="0" applyFont="1" applyBorder="1" applyAlignment="1">
      <alignment horizontal="center" wrapText="1"/>
    </xf>
    <xf numFmtId="0" fontId="6" fillId="7" borderId="34" xfId="0" applyFont="1" applyFill="1" applyBorder="1"/>
    <xf numFmtId="0" fontId="6" fillId="7" borderId="18" xfId="0" applyFont="1" applyFill="1" applyBorder="1"/>
    <xf numFmtId="0" fontId="5" fillId="0" borderId="0" xfId="0" applyFont="1" applyAlignment="1">
      <alignment horizontal="center"/>
    </xf>
    <xf numFmtId="0" fontId="5" fillId="0" borderId="66" xfId="0" applyFont="1" applyBorder="1" applyAlignment="1">
      <alignment horizontal="center"/>
    </xf>
    <xf numFmtId="0" fontId="31" fillId="7" borderId="32" xfId="0" applyFont="1" applyFill="1" applyBorder="1" applyAlignment="1">
      <alignment horizontal="left"/>
    </xf>
    <xf numFmtId="0" fontId="31" fillId="7" borderId="2" xfId="0" applyFont="1" applyFill="1" applyBorder="1" applyAlignment="1">
      <alignment horizontal="left"/>
    </xf>
    <xf numFmtId="0" fontId="6" fillId="7" borderId="15" xfId="0" applyFont="1" applyFill="1" applyBorder="1" applyAlignment="1">
      <alignment horizontal="center" vertical="center" wrapText="1"/>
    </xf>
    <xf numFmtId="0" fontId="6" fillId="7" borderId="17"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31" fillId="7" borderId="24" xfId="0" applyFont="1" applyFill="1" applyBorder="1" applyAlignment="1">
      <alignment horizontal="left"/>
    </xf>
    <xf numFmtId="0" fontId="31" fillId="7" borderId="18" xfId="0" applyFont="1" applyFill="1" applyBorder="1" applyAlignment="1">
      <alignment horizontal="left"/>
    </xf>
    <xf numFmtId="0" fontId="5" fillId="3" borderId="67" xfId="0" applyFont="1" applyFill="1" applyBorder="1" applyAlignment="1">
      <alignment horizontal="left"/>
    </xf>
    <xf numFmtId="0" fontId="5" fillId="3" borderId="32" xfId="0" applyFont="1" applyFill="1" applyBorder="1" applyAlignment="1">
      <alignment horizontal="left"/>
    </xf>
    <xf numFmtId="0" fontId="6" fillId="11" borderId="15" xfId="0" applyFont="1" applyFill="1" applyBorder="1" applyAlignment="1">
      <alignment horizontal="center" vertical="center"/>
    </xf>
    <xf numFmtId="0" fontId="6" fillId="11" borderId="16" xfId="0" applyFont="1" applyFill="1" applyBorder="1" applyAlignment="1">
      <alignment horizontal="center" vertical="center"/>
    </xf>
    <xf numFmtId="0" fontId="6" fillId="11" borderId="17" xfId="0" applyFont="1" applyFill="1" applyBorder="1" applyAlignment="1">
      <alignment horizontal="center" vertical="center"/>
    </xf>
    <xf numFmtId="0" fontId="6" fillId="11" borderId="12" xfId="0" applyFont="1" applyFill="1" applyBorder="1" applyAlignment="1">
      <alignment horizontal="center" vertical="center"/>
    </xf>
    <xf numFmtId="0" fontId="6" fillId="11" borderId="13" xfId="0" applyFont="1" applyFill="1" applyBorder="1" applyAlignment="1">
      <alignment horizontal="center" vertical="center"/>
    </xf>
    <xf numFmtId="0" fontId="6" fillId="11" borderId="14" xfId="0" applyFont="1" applyFill="1" applyBorder="1" applyAlignment="1">
      <alignment horizontal="center" vertical="center"/>
    </xf>
    <xf numFmtId="0" fontId="0" fillId="7" borderId="1" xfId="0" applyFill="1" applyBorder="1"/>
    <xf numFmtId="0" fontId="6" fillId="7" borderId="33" xfId="0" applyFont="1" applyFill="1" applyBorder="1"/>
    <xf numFmtId="0" fontId="0" fillId="7" borderId="2" xfId="0" applyFill="1" applyBorder="1"/>
    <xf numFmtId="0" fontId="6" fillId="7" borderId="55" xfId="0" applyFont="1" applyFill="1" applyBorder="1"/>
    <xf numFmtId="0" fontId="0" fillId="7" borderId="29" xfId="0" applyFill="1" applyBorder="1"/>
    <xf numFmtId="0" fontId="6" fillId="7" borderId="7" xfId="0" applyFont="1" applyFill="1" applyBorder="1" applyAlignment="1">
      <alignment wrapText="1"/>
    </xf>
    <xf numFmtId="0" fontId="6" fillId="7" borderId="49" xfId="0" applyFont="1" applyFill="1" applyBorder="1"/>
    <xf numFmtId="0" fontId="0" fillId="7" borderId="20" xfId="0" applyFill="1" applyBorder="1"/>
    <xf numFmtId="0" fontId="6" fillId="7" borderId="68" xfId="0" applyFont="1" applyFill="1" applyBorder="1" applyAlignment="1">
      <alignment horizontal="left"/>
    </xf>
    <xf numFmtId="0" fontId="6" fillId="7" borderId="23" xfId="0" applyFont="1" applyFill="1" applyBorder="1" applyAlignment="1">
      <alignment horizontal="left"/>
    </xf>
    <xf numFmtId="0" fontId="20" fillId="10" borderId="35" xfId="0" applyFont="1" applyFill="1" applyBorder="1" applyAlignment="1">
      <alignment horizontal="center" vertical="center" wrapText="1"/>
    </xf>
    <xf numFmtId="0" fontId="20" fillId="10" borderId="30" xfId="0" applyFont="1" applyFill="1" applyBorder="1" applyAlignment="1">
      <alignment horizontal="center" vertical="center" wrapText="1"/>
    </xf>
    <xf numFmtId="0" fontId="20" fillId="10" borderId="31" xfId="0" applyFont="1" applyFill="1" applyBorder="1" applyAlignment="1">
      <alignment horizontal="center" vertical="center" wrapText="1"/>
    </xf>
    <xf numFmtId="0" fontId="1" fillId="8" borderId="69" xfId="0" applyFont="1" applyFill="1" applyBorder="1" applyAlignment="1">
      <alignment vertical="top" wrapText="1"/>
    </xf>
    <xf numFmtId="0" fontId="5" fillId="8" borderId="30" xfId="0" applyFont="1" applyFill="1" applyBorder="1" applyAlignment="1">
      <alignment vertical="top" wrapText="1"/>
    </xf>
    <xf numFmtId="0" fontId="5" fillId="8" borderId="31" xfId="0" applyFont="1" applyFill="1" applyBorder="1" applyAlignment="1">
      <alignment vertical="top" wrapText="1"/>
    </xf>
    <xf numFmtId="0" fontId="20" fillId="10" borderId="15" xfId="0" applyFont="1" applyFill="1" applyBorder="1" applyAlignment="1">
      <alignment horizontal="center" vertical="center" wrapText="1"/>
    </xf>
    <xf numFmtId="0" fontId="6" fillId="10" borderId="15" xfId="0" applyFont="1" applyFill="1" applyBorder="1" applyAlignment="1">
      <alignment horizontal="left" vertical="top" wrapText="1"/>
    </xf>
    <xf numFmtId="0" fontId="6" fillId="10" borderId="16" xfId="0" applyFont="1" applyFill="1" applyBorder="1" applyAlignment="1">
      <alignment horizontal="left" vertical="top" wrapText="1"/>
    </xf>
    <xf numFmtId="0" fontId="6" fillId="10" borderId="17" xfId="0" applyFont="1" applyFill="1" applyBorder="1" applyAlignment="1">
      <alignment horizontal="left" vertical="top" wrapText="1"/>
    </xf>
    <xf numFmtId="3" fontId="20" fillId="10" borderId="35" xfId="0" applyNumberFormat="1" applyFont="1" applyFill="1" applyBorder="1" applyAlignment="1">
      <alignment horizontal="center" vertical="center" wrapText="1"/>
    </xf>
    <xf numFmtId="3" fontId="20" fillId="10" borderId="30" xfId="0" applyNumberFormat="1" applyFont="1" applyFill="1" applyBorder="1" applyAlignment="1">
      <alignment horizontal="center" vertical="center" wrapText="1"/>
    </xf>
    <xf numFmtId="3" fontId="20" fillId="10" borderId="31" xfId="0" applyNumberFormat="1" applyFont="1" applyFill="1" applyBorder="1" applyAlignment="1">
      <alignment horizontal="center" vertical="center" wrapText="1"/>
    </xf>
    <xf numFmtId="0" fontId="0" fillId="0" borderId="70" xfId="0" applyBorder="1" applyAlignment="1">
      <alignment horizontal="center" vertical="top" wrapText="1"/>
    </xf>
    <xf numFmtId="0" fontId="0" fillId="0" borderId="13" xfId="0" applyBorder="1" applyAlignment="1">
      <alignment horizontal="center" vertical="top" wrapText="1"/>
    </xf>
    <xf numFmtId="0" fontId="5" fillId="0" borderId="69" xfId="0" applyFont="1" applyBorder="1" applyAlignment="1">
      <alignment horizontal="center" vertical="top" wrapText="1"/>
    </xf>
    <xf numFmtId="0" fontId="5" fillId="0" borderId="30" xfId="0" applyFont="1" applyBorder="1" applyAlignment="1">
      <alignment horizontal="center" vertical="top" wrapText="1"/>
    </xf>
    <xf numFmtId="0" fontId="5" fillId="0" borderId="46" xfId="0" applyFont="1" applyBorder="1" applyAlignment="1">
      <alignment horizontal="center" vertical="top" wrapText="1"/>
    </xf>
    <xf numFmtId="0" fontId="6" fillId="4" borderId="71" xfId="0" applyFont="1" applyFill="1" applyBorder="1" applyAlignment="1">
      <alignment horizontal="center" vertical="top"/>
    </xf>
    <xf numFmtId="0" fontId="6" fillId="4" borderId="63" xfId="0" applyFont="1" applyFill="1" applyBorder="1" applyAlignment="1">
      <alignment horizontal="center" vertical="top"/>
    </xf>
    <xf numFmtId="0" fontId="6" fillId="4" borderId="62" xfId="0" applyFont="1" applyFill="1" applyBorder="1" applyAlignment="1">
      <alignment horizontal="center" vertical="top"/>
    </xf>
    <xf numFmtId="0" fontId="1" fillId="0" borderId="26" xfId="0" applyFont="1" applyBorder="1" applyAlignment="1">
      <alignment horizontal="left" wrapText="1"/>
    </xf>
    <xf numFmtId="0" fontId="1" fillId="0" borderId="44" xfId="0" applyFont="1" applyBorder="1" applyAlignment="1">
      <alignment horizontal="left" wrapText="1"/>
    </xf>
    <xf numFmtId="0" fontId="6" fillId="3" borderId="49" xfId="0" applyFont="1" applyFill="1" applyBorder="1" applyAlignment="1">
      <alignment horizontal="center" vertical="center" wrapText="1"/>
    </xf>
    <xf numFmtId="0" fontId="6" fillId="3" borderId="7" xfId="0" applyFont="1" applyFill="1" applyBorder="1" applyAlignment="1">
      <alignment horizontal="center" vertical="center"/>
    </xf>
    <xf numFmtId="0" fontId="6" fillId="3" borderId="34"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18" xfId="0" applyFont="1" applyFill="1" applyBorder="1" applyAlignment="1">
      <alignment horizontal="center" vertical="center"/>
    </xf>
    <xf numFmtId="0" fontId="19" fillId="0" borderId="0" xfId="0" applyFont="1" applyAlignment="1">
      <alignment horizontal="center"/>
    </xf>
    <xf numFmtId="0" fontId="1" fillId="3" borderId="15" xfId="0" applyFont="1" applyFill="1" applyBorder="1" applyAlignment="1">
      <alignment horizontal="left" vertical="center" wrapText="1"/>
    </xf>
    <xf numFmtId="0" fontId="1" fillId="3" borderId="16" xfId="0" applyFont="1" applyFill="1" applyBorder="1" applyAlignment="1">
      <alignment horizontal="left" vertical="center" wrapText="1"/>
    </xf>
    <xf numFmtId="0" fontId="1" fillId="3" borderId="17" xfId="0" applyFont="1" applyFill="1" applyBorder="1" applyAlignment="1">
      <alignment horizontal="left" vertical="center" wrapText="1"/>
    </xf>
    <xf numFmtId="0" fontId="1" fillId="3" borderId="10" xfId="0" applyFont="1" applyFill="1" applyBorder="1" applyAlignment="1">
      <alignment horizontal="left" vertical="center" wrapText="1"/>
    </xf>
    <xf numFmtId="0" fontId="1" fillId="3" borderId="0" xfId="0" applyFont="1" applyFill="1" applyAlignment="1">
      <alignment horizontal="left" vertical="center" wrapText="1"/>
    </xf>
    <xf numFmtId="0" fontId="1" fillId="3" borderId="11" xfId="0" applyFont="1" applyFill="1" applyBorder="1" applyAlignment="1">
      <alignment horizontal="left" vertical="center" wrapText="1"/>
    </xf>
    <xf numFmtId="0" fontId="6" fillId="3" borderId="59"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59" xfId="0" applyFont="1" applyFill="1" applyBorder="1" applyAlignment="1">
      <alignment horizontal="center" vertical="center"/>
    </xf>
    <xf numFmtId="0" fontId="6" fillId="3" borderId="42" xfId="0" applyFont="1" applyFill="1" applyBorder="1" applyAlignment="1">
      <alignment horizontal="center" vertical="center"/>
    </xf>
    <xf numFmtId="0" fontId="6" fillId="3" borderId="42" xfId="0" applyFont="1" applyFill="1" applyBorder="1" applyAlignment="1">
      <alignment horizontal="center" vertical="center" wrapText="1"/>
    </xf>
    <xf numFmtId="0" fontId="6" fillId="3" borderId="48" xfId="0" applyFont="1" applyFill="1" applyBorder="1" applyAlignment="1">
      <alignment horizontal="center" vertical="center"/>
    </xf>
    <xf numFmtId="0" fontId="1" fillId="3" borderId="33"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11" xfId="0" applyFont="1" applyFill="1" applyBorder="1" applyAlignment="1">
      <alignment horizontal="center" vertical="center"/>
    </xf>
    <xf numFmtId="0" fontId="1" fillId="3" borderId="43" xfId="0" applyFont="1" applyFill="1" applyBorder="1" applyAlignment="1">
      <alignment horizontal="center" vertical="center"/>
    </xf>
    <xf numFmtId="0" fontId="1" fillId="3" borderId="65" xfId="0" applyFont="1" applyFill="1" applyBorder="1" applyAlignment="1">
      <alignment horizontal="center" vertical="center"/>
    </xf>
    <xf numFmtId="0" fontId="1" fillId="3" borderId="65" xfId="0" applyFont="1" applyFill="1" applyBorder="1" applyAlignment="1">
      <alignment horizontal="center" vertical="center" wrapText="1"/>
    </xf>
    <xf numFmtId="0" fontId="1" fillId="3" borderId="43" xfId="0" applyFont="1" applyFill="1" applyBorder="1" applyAlignment="1">
      <alignment horizontal="center" vertical="center" wrapText="1"/>
    </xf>
    <xf numFmtId="0" fontId="1" fillId="3" borderId="0" xfId="0" applyFont="1" applyFill="1" applyAlignment="1">
      <alignment horizontal="center" vertical="center"/>
    </xf>
    <xf numFmtId="0" fontId="1" fillId="3" borderId="7" xfId="0" applyFont="1" applyFill="1" applyBorder="1" applyAlignment="1">
      <alignment horizontal="center" vertical="center" wrapText="1"/>
    </xf>
    <xf numFmtId="0" fontId="18" fillId="3" borderId="35" xfId="0" applyFont="1" applyFill="1" applyBorder="1" applyAlignment="1">
      <alignment horizontal="left" vertical="top" wrapText="1"/>
    </xf>
    <xf numFmtId="0" fontId="18" fillId="3" borderId="30" xfId="0" applyFont="1" applyFill="1" applyBorder="1" applyAlignment="1">
      <alignment horizontal="left" vertical="top" wrapText="1"/>
    </xf>
    <xf numFmtId="0" fontId="18" fillId="3" borderId="31" xfId="0" applyFont="1" applyFill="1" applyBorder="1" applyAlignment="1">
      <alignment horizontal="left" vertical="top" wrapText="1"/>
    </xf>
    <xf numFmtId="0" fontId="19" fillId="3" borderId="10" xfId="0" applyFont="1" applyFill="1" applyBorder="1" applyAlignment="1">
      <alignment horizontal="center" vertical="center" wrapText="1"/>
    </xf>
    <xf numFmtId="0" fontId="19" fillId="3" borderId="0" xfId="0" applyFont="1" applyFill="1" applyAlignment="1">
      <alignment horizontal="center" vertical="center" wrapText="1"/>
    </xf>
    <xf numFmtId="0" fontId="19" fillId="3" borderId="11"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1" fillId="3" borderId="30"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1" fillId="3" borderId="0" xfId="0" applyFont="1" applyFill="1" applyAlignment="1">
      <alignment horizontal="center"/>
    </xf>
    <xf numFmtId="0" fontId="0" fillId="3" borderId="0" xfId="0" applyFill="1" applyAlignment="1">
      <alignment horizontal="center"/>
    </xf>
    <xf numFmtId="0" fontId="6" fillId="3" borderId="33"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22" fillId="3" borderId="30" xfId="1" applyFill="1" applyBorder="1" applyAlignment="1" applyProtection="1">
      <alignment horizontal="left" vertical="center" wrapText="1"/>
      <protection locked="0"/>
    </xf>
    <xf numFmtId="0" fontId="6" fillId="3" borderId="30" xfId="0" applyFont="1" applyFill="1" applyBorder="1" applyAlignment="1" applyProtection="1">
      <alignment horizontal="left" vertical="center" wrapText="1"/>
      <protection locked="0"/>
    </xf>
    <xf numFmtId="0" fontId="6" fillId="3" borderId="10" xfId="0" applyFont="1" applyFill="1" applyBorder="1" applyAlignment="1">
      <alignment horizontal="center" wrapText="1"/>
    </xf>
    <xf numFmtId="0" fontId="6" fillId="3" borderId="0" xfId="0" applyFont="1" applyFill="1" applyAlignment="1">
      <alignment horizontal="center" wrapText="1"/>
    </xf>
    <xf numFmtId="0" fontId="6" fillId="3" borderId="35"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6" fillId="3" borderId="55" xfId="0" applyFont="1" applyFill="1" applyBorder="1" applyAlignment="1">
      <alignment horizontal="center" vertical="center" wrapText="1"/>
    </xf>
    <xf numFmtId="0" fontId="17" fillId="4" borderId="35" xfId="0" applyFont="1" applyFill="1" applyBorder="1" applyAlignment="1">
      <alignment horizontal="center"/>
    </xf>
    <xf numFmtId="0" fontId="17" fillId="4" borderId="30" xfId="0" applyFont="1" applyFill="1" applyBorder="1" applyAlignment="1">
      <alignment horizontal="center"/>
    </xf>
    <xf numFmtId="0" fontId="17" fillId="4" borderId="31" xfId="0" applyFont="1" applyFill="1" applyBorder="1" applyAlignment="1">
      <alignment horizontal="center"/>
    </xf>
    <xf numFmtId="0" fontId="6" fillId="4" borderId="35" xfId="0" applyFont="1" applyFill="1" applyBorder="1" applyAlignment="1">
      <alignment horizontal="center"/>
    </xf>
    <xf numFmtId="0" fontId="6" fillId="4" borderId="30" xfId="0" applyFont="1" applyFill="1" applyBorder="1" applyAlignment="1">
      <alignment horizontal="center"/>
    </xf>
    <xf numFmtId="0" fontId="6" fillId="4" borderId="31" xfId="0" applyFont="1" applyFill="1" applyBorder="1" applyAlignment="1">
      <alignment horizontal="center"/>
    </xf>
  </cellXfs>
  <cellStyles count="6">
    <cellStyle name="Hyperlink" xfId="1" builtinId="8"/>
    <cellStyle name="Normal" xfId="0" builtinId="0"/>
    <cellStyle name="Normal 2" xfId="2" xr:uid="{00000000-0005-0000-0000-000002000000}"/>
    <cellStyle name="Normal 2 2 2" xfId="5" xr:uid="{1290E1D9-C507-4883-91FB-F3A1F6DA350A}"/>
    <cellStyle name="Normal 3" xfId="3" xr:uid="{00000000-0005-0000-0000-000003000000}"/>
    <cellStyle name="Normal 4"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cpu per down for parent SAM</a:t>
            </a:r>
          </a:p>
        </c:rich>
      </c:tx>
      <c:layout>
        <c:manualLayout>
          <c:xMode val="edge"/>
          <c:yMode val="edge"/>
          <c:x val="0.10904065040650407"/>
          <c:y val="4.1116010498687669E-2"/>
        </c:manualLayout>
      </c:layout>
      <c:overlay val="0"/>
    </c:title>
    <c:autoTitleDeleted val="0"/>
    <c:plotArea>
      <c:layout/>
      <c:scatterChart>
        <c:scatterStyle val="lineMarker"/>
        <c:varyColors val="0"/>
        <c:ser>
          <c:idx val="0"/>
          <c:order val="0"/>
          <c:tx>
            <c:v>cpu per down for parent sam</c:v>
          </c:tx>
          <c:xVal>
            <c:numLit>
              <c:formatCode>General</c:formatCode>
              <c:ptCount val="5"/>
              <c:pt idx="0">
                <c:v>0</c:v>
              </c:pt>
              <c:pt idx="1">
                <c:v>50</c:v>
              </c:pt>
              <c:pt idx="2">
                <c:v>100</c:v>
              </c:pt>
              <c:pt idx="3">
                <c:v>200</c:v>
              </c:pt>
              <c:pt idx="4">
                <c:v>300</c:v>
              </c:pt>
            </c:numLit>
          </c:xVal>
          <c:yVal>
            <c:numLit>
              <c:formatCode>General</c:formatCode>
              <c:ptCount val="5"/>
              <c:pt idx="0">
                <c:v>4.5759069649854598E-3</c:v>
              </c:pt>
              <c:pt idx="1">
                <c:v>1.0504361016306399E-2</c:v>
              </c:pt>
              <c:pt idx="2">
                <c:v>1.30956895462015E-2</c:v>
              </c:pt>
              <c:pt idx="3">
                <c:v>2.1539628365566901E-2</c:v>
              </c:pt>
              <c:pt idx="4">
                <c:v>2.9086082669700399E-2</c:v>
              </c:pt>
            </c:numLit>
          </c:yVal>
          <c:smooth val="0"/>
          <c:extLst>
            <c:ext xmlns:c16="http://schemas.microsoft.com/office/drawing/2014/chart" uri="{C3380CC4-5D6E-409C-BE32-E72D297353CC}">
              <c16:uniqueId val="{00000000-EF10-4860-9B5C-D70BF09D3873}"/>
            </c:ext>
          </c:extLst>
        </c:ser>
        <c:dLbls>
          <c:showLegendKey val="0"/>
          <c:showVal val="0"/>
          <c:showCatName val="0"/>
          <c:showSerName val="0"/>
          <c:showPercent val="0"/>
          <c:showBubbleSize val="0"/>
        </c:dLbls>
        <c:axId val="327587408"/>
        <c:axId val="327585056"/>
      </c:scatterChart>
      <c:valAx>
        <c:axId val="327587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7585056"/>
        <c:crosses val="autoZero"/>
        <c:crossBetween val="midCat"/>
      </c:valAx>
      <c:valAx>
        <c:axId val="327585056"/>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7587408"/>
        <c:crosses val="autoZero"/>
        <c:crossBetween val="midCat"/>
      </c:valAx>
    </c:plotArea>
    <c:legend>
      <c:legendPos val="r"/>
      <c:layout>
        <c:manualLayout>
          <c:xMode val="edge"/>
          <c:yMode val="edge"/>
          <c:x val="0.68811047170152539"/>
          <c:y val="0.52713377821348939"/>
          <c:w val="0.2884995745377501"/>
          <c:h val="0.17054328118671716"/>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Start Memory</a:t>
            </a:r>
          </a:p>
        </c:rich>
      </c:tx>
      <c:overlay val="0"/>
    </c:title>
    <c:autoTitleDeleted val="0"/>
    <c:plotArea>
      <c:layout/>
      <c:scatterChart>
        <c:scatterStyle val="smoothMarker"/>
        <c:varyColors val="0"/>
        <c:ser>
          <c:idx val="0"/>
          <c:order val="0"/>
          <c:tx>
            <c:v>Start memroy</c:v>
          </c:tx>
          <c:xVal>
            <c:numLit>
              <c:formatCode>General</c:formatCode>
              <c:ptCount val="5"/>
              <c:pt idx="0">
                <c:v>1</c:v>
              </c:pt>
              <c:pt idx="1">
                <c:v>2</c:v>
              </c:pt>
              <c:pt idx="2">
                <c:v>3</c:v>
              </c:pt>
              <c:pt idx="3">
                <c:v>4</c:v>
              </c:pt>
              <c:pt idx="4">
                <c:v>0</c:v>
              </c:pt>
            </c:numLit>
          </c:xVal>
          <c:yVal>
            <c:numLit>
              <c:formatCode>General</c:formatCode>
              <c:ptCount val="5"/>
              <c:pt idx="0">
                <c:v>157948</c:v>
              </c:pt>
              <c:pt idx="1">
                <c:v>159184</c:v>
              </c:pt>
              <c:pt idx="2">
                <c:v>166804</c:v>
              </c:pt>
              <c:pt idx="3">
                <c:v>171812</c:v>
              </c:pt>
              <c:pt idx="4">
                <c:v>0</c:v>
              </c:pt>
            </c:numLit>
          </c:yVal>
          <c:smooth val="1"/>
          <c:extLst>
            <c:ext xmlns:c16="http://schemas.microsoft.com/office/drawing/2014/chart" uri="{C3380CC4-5D6E-409C-BE32-E72D297353CC}">
              <c16:uniqueId val="{00000000-D6A6-4627-B0B7-580E307944EC}"/>
            </c:ext>
          </c:extLst>
        </c:ser>
        <c:dLbls>
          <c:showLegendKey val="0"/>
          <c:showVal val="0"/>
          <c:showCatName val="0"/>
          <c:showSerName val="0"/>
          <c:showPercent val="0"/>
          <c:showBubbleSize val="0"/>
        </c:dLbls>
        <c:axId val="330640688"/>
        <c:axId val="330641080"/>
      </c:scatterChart>
      <c:valAx>
        <c:axId val="330640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30641080"/>
        <c:crosses val="autoZero"/>
        <c:crossBetween val="midCat"/>
      </c:valAx>
      <c:valAx>
        <c:axId val="330641080"/>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30640688"/>
        <c:crosses val="autoZero"/>
        <c:crossBetween val="midCat"/>
      </c:valAx>
    </c:plotArea>
    <c:legend>
      <c:legendPos val="r"/>
      <c:layout>
        <c:manualLayout>
          <c:xMode val="edge"/>
          <c:yMode val="edge"/>
          <c:x val="0.72352975812354381"/>
          <c:y val="0.55833390129994842"/>
          <c:w val="0.25098051230301793"/>
          <c:h val="0.1083334435358109"/>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scatterChart>
        <c:scatterStyle val="smoothMarker"/>
        <c:varyColors val="0"/>
        <c:ser>
          <c:idx val="0"/>
          <c:order val="0"/>
          <c:tx>
            <c:v>cpu per down</c:v>
          </c:tx>
          <c:xVal>
            <c:numLit>
              <c:formatCode>General</c:formatCode>
              <c:ptCount val="4"/>
              <c:pt idx="0">
                <c:v>1</c:v>
              </c:pt>
              <c:pt idx="1">
                <c:v>2</c:v>
              </c:pt>
              <c:pt idx="2">
                <c:v>3</c:v>
              </c:pt>
              <c:pt idx="3">
                <c:v>4</c:v>
              </c:pt>
            </c:numLit>
          </c:xVal>
          <c:yVal>
            <c:numLit>
              <c:formatCode>General</c:formatCode>
              <c:ptCount val="4"/>
              <c:pt idx="0">
                <c:v>1.3727720894956399E-2</c:v>
              </c:pt>
              <c:pt idx="1">
                <c:v>1.5017064846416401E-2</c:v>
              </c:pt>
              <c:pt idx="2">
                <c:v>1.6723549488054601E-2</c:v>
              </c:pt>
              <c:pt idx="3">
                <c:v>1.6420174440652299E-2</c:v>
              </c:pt>
            </c:numLit>
          </c:yVal>
          <c:smooth val="1"/>
          <c:extLst>
            <c:ext xmlns:c16="http://schemas.microsoft.com/office/drawing/2014/chart" uri="{C3380CC4-5D6E-409C-BE32-E72D297353CC}">
              <c16:uniqueId val="{00000000-E085-41E0-8361-27027EBAD9EC}"/>
            </c:ext>
          </c:extLst>
        </c:ser>
        <c:dLbls>
          <c:showLegendKey val="0"/>
          <c:showVal val="0"/>
          <c:showCatName val="0"/>
          <c:showSerName val="0"/>
          <c:showPercent val="0"/>
          <c:showBubbleSize val="0"/>
        </c:dLbls>
        <c:axId val="327587800"/>
        <c:axId val="327588192"/>
      </c:scatterChart>
      <c:valAx>
        <c:axId val="327587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7588192"/>
        <c:crosses val="autoZero"/>
        <c:crossBetween val="midCat"/>
      </c:valAx>
      <c:valAx>
        <c:axId val="327588192"/>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7587800"/>
        <c:crosses val="autoZero"/>
        <c:crossBetween val="midCat"/>
      </c:valAx>
    </c:plotArea>
    <c:legend>
      <c:legendPos val="r"/>
      <c:layout>
        <c:manualLayout>
          <c:xMode val="edge"/>
          <c:yMode val="edge"/>
          <c:x val="0.71041702800345252"/>
          <c:y val="0.55555700463711899"/>
          <c:w val="0.26666680230041623"/>
          <c:h val="0.1111114009274238"/>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Parent SAM cpu per down</a:t>
            </a:r>
          </a:p>
        </c:rich>
      </c:tx>
      <c:overlay val="0"/>
    </c:title>
    <c:autoTitleDeleted val="0"/>
    <c:plotArea>
      <c:layout/>
      <c:scatterChart>
        <c:scatterStyle val="smoothMarker"/>
        <c:varyColors val="0"/>
        <c:ser>
          <c:idx val="0"/>
          <c:order val="0"/>
          <c:tx>
            <c:v>Parent SAM cpu per down</c:v>
          </c:tx>
          <c:xVal>
            <c:numLit>
              <c:formatCode>General</c:formatCode>
              <c:ptCount val="2"/>
              <c:pt idx="0">
                <c:v>1</c:v>
              </c:pt>
              <c:pt idx="1">
                <c:v>2</c:v>
              </c:pt>
            </c:numLit>
          </c:xVal>
          <c:yVal>
            <c:numLit>
              <c:formatCode>General</c:formatCode>
              <c:ptCount val="2"/>
              <c:pt idx="0">
                <c:v>4.1714069017823301E-3</c:v>
              </c:pt>
              <c:pt idx="1">
                <c:v>5.6503602578687898E-3</c:v>
              </c:pt>
            </c:numLit>
          </c:yVal>
          <c:smooth val="1"/>
          <c:extLst>
            <c:ext xmlns:c16="http://schemas.microsoft.com/office/drawing/2014/chart" uri="{C3380CC4-5D6E-409C-BE32-E72D297353CC}">
              <c16:uniqueId val="{00000000-B408-4F13-8260-6D6BB699FD57}"/>
            </c:ext>
          </c:extLst>
        </c:ser>
        <c:dLbls>
          <c:showLegendKey val="0"/>
          <c:showVal val="0"/>
          <c:showCatName val="0"/>
          <c:showSerName val="0"/>
          <c:showPercent val="0"/>
          <c:showBubbleSize val="0"/>
        </c:dLbls>
        <c:axId val="329962888"/>
        <c:axId val="329962496"/>
      </c:scatterChart>
      <c:valAx>
        <c:axId val="329962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2496"/>
        <c:crosses val="autoZero"/>
        <c:crossBetween val="midCat"/>
      </c:valAx>
      <c:valAx>
        <c:axId val="329962496"/>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2888"/>
        <c:crosses val="autoZero"/>
        <c:crossBetween val="midCat"/>
      </c:valAx>
    </c:plotArea>
    <c:legend>
      <c:legendPos val="r"/>
      <c:layout>
        <c:manualLayout>
          <c:xMode val="edge"/>
          <c:yMode val="edge"/>
          <c:x val="0.64082909686896439"/>
          <c:y val="0.48925180711663335"/>
          <c:w val="0.33075050160978808"/>
          <c:h val="0.2365613133311194"/>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cpu per down trap for parent SAM</a:t>
            </a:r>
          </a:p>
        </c:rich>
      </c:tx>
      <c:layout>
        <c:manualLayout>
          <c:xMode val="edge"/>
          <c:yMode val="edge"/>
          <c:x val="0.14789597213809813"/>
          <c:y val="4.1666548438201979E-2"/>
        </c:manualLayout>
      </c:layout>
      <c:overlay val="0"/>
    </c:title>
    <c:autoTitleDeleted val="0"/>
    <c:plotArea>
      <c:layout/>
      <c:scatterChart>
        <c:scatterStyle val="smoothMarker"/>
        <c:varyColors val="0"/>
        <c:ser>
          <c:idx val="0"/>
          <c:order val="0"/>
          <c:tx>
            <c:v>cpu per down trap for parent SAM</c:v>
          </c:tx>
          <c:xVal>
            <c:numLit>
              <c:formatCode>General</c:formatCode>
              <c:ptCount val="5"/>
              <c:pt idx="0">
                <c:v>0</c:v>
              </c:pt>
              <c:pt idx="1">
                <c:v>50</c:v>
              </c:pt>
              <c:pt idx="2">
                <c:v>100</c:v>
              </c:pt>
              <c:pt idx="3">
                <c:v>200</c:v>
              </c:pt>
              <c:pt idx="4">
                <c:v>300</c:v>
              </c:pt>
            </c:numLit>
          </c:xVal>
          <c:yVal>
            <c:numLit>
              <c:formatCode>General</c:formatCode>
              <c:ptCount val="5"/>
              <c:pt idx="0">
                <c:v>5.2666666666666704E-3</c:v>
              </c:pt>
              <c:pt idx="1">
                <c:v>1.0063000000000001E-2</c:v>
              </c:pt>
              <c:pt idx="2">
                <c:v>1.37666666666667E-2</c:v>
              </c:pt>
              <c:pt idx="3">
                <c:v>2.1233333333333299E-2</c:v>
              </c:pt>
              <c:pt idx="4">
                <c:v>2.92E-2</c:v>
              </c:pt>
            </c:numLit>
          </c:yVal>
          <c:smooth val="1"/>
          <c:extLst>
            <c:ext xmlns:c16="http://schemas.microsoft.com/office/drawing/2014/chart" uri="{C3380CC4-5D6E-409C-BE32-E72D297353CC}">
              <c16:uniqueId val="{00000000-1E3B-471F-BDBE-196FF63A3856}"/>
            </c:ext>
          </c:extLst>
        </c:ser>
        <c:dLbls>
          <c:showLegendKey val="0"/>
          <c:showVal val="0"/>
          <c:showCatName val="0"/>
          <c:showSerName val="0"/>
          <c:showPercent val="0"/>
          <c:showBubbleSize val="0"/>
        </c:dLbls>
        <c:axId val="329963672"/>
        <c:axId val="329957400"/>
      </c:scatterChart>
      <c:valAx>
        <c:axId val="329963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7400"/>
        <c:crosses val="autoZero"/>
        <c:crossBetween val="midCat"/>
      </c:valAx>
      <c:valAx>
        <c:axId val="329957400"/>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3672"/>
        <c:crosses val="autoZero"/>
        <c:crossBetween val="midCat"/>
      </c:valAx>
    </c:plotArea>
    <c:legend>
      <c:legendPos val="r"/>
      <c:layout>
        <c:manualLayout>
          <c:xMode val="edge"/>
          <c:yMode val="edge"/>
          <c:x val="0.64038566770105787"/>
          <c:y val="0.49027377076744927"/>
          <c:w val="0.33653901455761298"/>
          <c:h val="0.17120671360133147"/>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Start memory</a:t>
            </a:r>
          </a:p>
        </c:rich>
      </c:tx>
      <c:overlay val="0"/>
    </c:title>
    <c:autoTitleDeleted val="0"/>
    <c:plotArea>
      <c:layout/>
      <c:scatterChart>
        <c:scatterStyle val="smoothMarker"/>
        <c:varyColors val="0"/>
        <c:ser>
          <c:idx val="0"/>
          <c:order val="0"/>
          <c:tx>
            <c:v>Start memroy</c:v>
          </c:tx>
          <c:xVal>
            <c:numLit>
              <c:formatCode>General</c:formatCode>
              <c:ptCount val="5"/>
              <c:pt idx="0">
                <c:v>1</c:v>
              </c:pt>
              <c:pt idx="1">
                <c:v>2</c:v>
              </c:pt>
              <c:pt idx="2">
                <c:v>3</c:v>
              </c:pt>
              <c:pt idx="3">
                <c:v>4</c:v>
              </c:pt>
              <c:pt idx="4">
                <c:v>8</c:v>
              </c:pt>
            </c:numLit>
          </c:xVal>
          <c:yVal>
            <c:numLit>
              <c:formatCode>General</c:formatCode>
              <c:ptCount val="5"/>
              <c:pt idx="0">
                <c:v>156388</c:v>
              </c:pt>
              <c:pt idx="1">
                <c:v>159784</c:v>
              </c:pt>
              <c:pt idx="2">
                <c:v>167944</c:v>
              </c:pt>
              <c:pt idx="3">
                <c:v>170732</c:v>
              </c:pt>
              <c:pt idx="4">
                <c:v>178960</c:v>
              </c:pt>
            </c:numLit>
          </c:yVal>
          <c:smooth val="1"/>
          <c:extLst>
            <c:ext xmlns:c16="http://schemas.microsoft.com/office/drawing/2014/chart" uri="{C3380CC4-5D6E-409C-BE32-E72D297353CC}">
              <c16:uniqueId val="{00000000-71F8-45F7-9753-B4E95978EC98}"/>
            </c:ext>
          </c:extLst>
        </c:ser>
        <c:dLbls>
          <c:showLegendKey val="0"/>
          <c:showVal val="0"/>
          <c:showCatName val="0"/>
          <c:showSerName val="0"/>
          <c:showPercent val="0"/>
          <c:showBubbleSize val="0"/>
        </c:dLbls>
        <c:axId val="329963280"/>
        <c:axId val="329957792"/>
      </c:scatterChart>
      <c:valAx>
        <c:axId val="329963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7792"/>
        <c:crosses val="autoZero"/>
        <c:crossBetween val="midCat"/>
      </c:valAx>
      <c:valAx>
        <c:axId val="329957792"/>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3280"/>
        <c:crosses val="autoZero"/>
        <c:crossBetween val="midCat"/>
      </c:valAx>
    </c:plotArea>
    <c:legend>
      <c:legendPos val="r"/>
      <c:layout>
        <c:manualLayout>
          <c:xMode val="edge"/>
          <c:yMode val="edge"/>
          <c:x val="0.723321728586927"/>
          <c:y val="0.56275331455657074"/>
          <c:w val="0.25296497611783236"/>
          <c:h val="0.1052632099170564"/>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9.5084135703196251E-2"/>
          <c:y val="5.562007874015748E-2"/>
        </c:manualLayout>
      </c:layout>
      <c:overlay val="0"/>
      <c:txPr>
        <a:bodyPr/>
        <a:lstStyle/>
        <a:p>
          <a:pPr>
            <a:defRPr sz="1200" b="1" i="0" u="none" strike="noStrike" baseline="0">
              <a:solidFill>
                <a:srgbClr val="000000"/>
              </a:solidFill>
              <a:latin typeface="Calibri"/>
              <a:ea typeface="Calibri"/>
              <a:cs typeface="Calibri"/>
            </a:defRPr>
          </a:pPr>
          <a:endParaRPr lang="en-US"/>
        </a:p>
      </c:txPr>
    </c:title>
    <c:autoTitleDeleted val="0"/>
    <c:plotArea>
      <c:layout/>
      <c:scatterChart>
        <c:scatterStyle val="smoothMarker"/>
        <c:varyColors val="0"/>
        <c:ser>
          <c:idx val="0"/>
          <c:order val="0"/>
          <c:tx>
            <c:v>cpu per down for parent sam</c:v>
          </c:tx>
          <c:xVal>
            <c:numLit>
              <c:formatCode>General</c:formatCode>
              <c:ptCount val="5"/>
              <c:pt idx="0">
                <c:v>0</c:v>
              </c:pt>
              <c:pt idx="1">
                <c:v>100</c:v>
              </c:pt>
              <c:pt idx="2">
                <c:v>200</c:v>
              </c:pt>
              <c:pt idx="3">
                <c:v>300</c:v>
              </c:pt>
              <c:pt idx="4">
                <c:v>0</c:v>
              </c:pt>
            </c:numLit>
          </c:xVal>
          <c:yVal>
            <c:numLit>
              <c:formatCode>General</c:formatCode>
              <c:ptCount val="5"/>
              <c:pt idx="0">
                <c:v>4.2598912906080099E-3</c:v>
              </c:pt>
              <c:pt idx="1">
                <c:v>1.2880798887624801E-2</c:v>
              </c:pt>
              <c:pt idx="2">
                <c:v>2.0275565668057102E-2</c:v>
              </c:pt>
              <c:pt idx="3">
                <c:v>2.9149285804575899E-2</c:v>
              </c:pt>
              <c:pt idx="4">
                <c:v>0</c:v>
              </c:pt>
            </c:numLit>
          </c:yVal>
          <c:smooth val="1"/>
          <c:extLst>
            <c:ext xmlns:c16="http://schemas.microsoft.com/office/drawing/2014/chart" uri="{C3380CC4-5D6E-409C-BE32-E72D297353CC}">
              <c16:uniqueId val="{00000000-E814-4CAC-A11E-477940D936C1}"/>
            </c:ext>
          </c:extLst>
        </c:ser>
        <c:dLbls>
          <c:showLegendKey val="0"/>
          <c:showVal val="0"/>
          <c:showCatName val="0"/>
          <c:showSerName val="0"/>
          <c:showPercent val="0"/>
          <c:showBubbleSize val="0"/>
        </c:dLbls>
        <c:axId val="329956616"/>
        <c:axId val="329957008"/>
      </c:scatterChart>
      <c:valAx>
        <c:axId val="329956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7008"/>
        <c:crosses val="autoZero"/>
        <c:crossBetween val="midCat"/>
      </c:valAx>
      <c:valAx>
        <c:axId val="329957008"/>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6616"/>
        <c:crosses val="autoZero"/>
        <c:crossBetween val="midCat"/>
      </c:valAx>
    </c:plotArea>
    <c:legend>
      <c:legendPos val="r"/>
      <c:layout>
        <c:manualLayout>
          <c:xMode val="edge"/>
          <c:yMode val="edge"/>
          <c:x val="0.66029963575745287"/>
          <c:y val="0.4899014061582927"/>
          <c:w val="0.3142261932221963"/>
          <c:h val="0.22222331825736985"/>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scatterChart>
        <c:scatterStyle val="smoothMarker"/>
        <c:varyColors val="0"/>
        <c:ser>
          <c:idx val="0"/>
          <c:order val="0"/>
          <c:tx>
            <c:v>SAM cpu per down</c:v>
          </c:tx>
          <c:xVal>
            <c:numLit>
              <c:formatCode>General</c:formatCode>
              <c:ptCount val="5"/>
              <c:pt idx="0">
                <c:v>1</c:v>
              </c:pt>
              <c:pt idx="1">
                <c:v>2</c:v>
              </c:pt>
              <c:pt idx="2">
                <c:v>3</c:v>
              </c:pt>
              <c:pt idx="3">
                <c:v>4</c:v>
              </c:pt>
              <c:pt idx="4">
                <c:v>8</c:v>
              </c:pt>
            </c:numLit>
          </c:xVal>
          <c:yVal>
            <c:numLit>
              <c:formatCode>General</c:formatCode>
              <c:ptCount val="5"/>
              <c:pt idx="0">
                <c:v>1.36897990140311E-2</c:v>
              </c:pt>
              <c:pt idx="1">
                <c:v>1.51687523701176E-2</c:v>
              </c:pt>
              <c:pt idx="2">
                <c:v>1.6954240930350101E-2</c:v>
              </c:pt>
              <c:pt idx="3">
                <c:v>1.7907318923018601E-2</c:v>
              </c:pt>
              <c:pt idx="4">
                <c:v>2.3881304512703799E-2</c:v>
              </c:pt>
            </c:numLit>
          </c:yVal>
          <c:smooth val="1"/>
          <c:extLst>
            <c:ext xmlns:c16="http://schemas.microsoft.com/office/drawing/2014/chart" uri="{C3380CC4-5D6E-409C-BE32-E72D297353CC}">
              <c16:uniqueId val="{00000000-F7D1-42DF-96CF-958DF28E2ECB}"/>
            </c:ext>
          </c:extLst>
        </c:ser>
        <c:dLbls>
          <c:showLegendKey val="0"/>
          <c:showVal val="0"/>
          <c:showCatName val="0"/>
          <c:showSerName val="0"/>
          <c:showPercent val="0"/>
          <c:showBubbleSize val="0"/>
        </c:dLbls>
        <c:axId val="329959360"/>
        <c:axId val="329958184"/>
      </c:scatterChart>
      <c:valAx>
        <c:axId val="329959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8184"/>
        <c:crosses val="autoZero"/>
        <c:crossBetween val="midCat"/>
      </c:valAx>
      <c:valAx>
        <c:axId val="329958184"/>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59360"/>
        <c:crosses val="autoZero"/>
        <c:crossBetween val="midCat"/>
      </c:valAx>
    </c:plotArea>
    <c:legend>
      <c:legendPos val="r"/>
      <c:layout>
        <c:manualLayout>
          <c:xMode val="edge"/>
          <c:yMode val="edge"/>
          <c:x val="0.65513733468972535"/>
          <c:y val="0.55715658021133518"/>
          <c:w val="0.32146490335707023"/>
          <c:h val="9.9903938520653227E-2"/>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0004836130177606"/>
          <c:y val="0"/>
        </c:manualLayout>
      </c:layout>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scatterChart>
        <c:scatterStyle val="smoothMarker"/>
        <c:varyColors val="0"/>
        <c:ser>
          <c:idx val="0"/>
          <c:order val="0"/>
          <c:tx>
            <c:v>SAM cpu per down</c:v>
          </c:tx>
          <c:xVal>
            <c:numLit>
              <c:formatCode>General</c:formatCode>
              <c:ptCount val="3"/>
              <c:pt idx="0">
                <c:v>1</c:v>
              </c:pt>
              <c:pt idx="1">
                <c:v>4</c:v>
              </c:pt>
              <c:pt idx="2">
                <c:v>0</c:v>
              </c:pt>
            </c:numLit>
          </c:xVal>
          <c:yVal>
            <c:numLit>
              <c:formatCode>General</c:formatCode>
              <c:ptCount val="3"/>
              <c:pt idx="0">
                <c:v>3.90595373530527E-3</c:v>
              </c:pt>
              <c:pt idx="1">
                <c:v>5.1027682973075498E-3</c:v>
              </c:pt>
              <c:pt idx="2">
                <c:v>0</c:v>
              </c:pt>
            </c:numLit>
          </c:yVal>
          <c:smooth val="1"/>
          <c:extLst>
            <c:ext xmlns:c16="http://schemas.microsoft.com/office/drawing/2014/chart" uri="{C3380CC4-5D6E-409C-BE32-E72D297353CC}">
              <c16:uniqueId val="{00000000-B30A-4618-87E1-119DBE00D100}"/>
            </c:ext>
          </c:extLst>
        </c:ser>
        <c:dLbls>
          <c:showLegendKey val="0"/>
          <c:showVal val="0"/>
          <c:showCatName val="0"/>
          <c:showSerName val="0"/>
          <c:showPercent val="0"/>
          <c:showBubbleSize val="0"/>
        </c:dLbls>
        <c:axId val="329960928"/>
        <c:axId val="329961320"/>
      </c:scatterChart>
      <c:valAx>
        <c:axId val="329960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1320"/>
        <c:crosses val="autoZero"/>
        <c:crossBetween val="midCat"/>
      </c:valAx>
      <c:valAx>
        <c:axId val="329961320"/>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0928"/>
        <c:crosses val="autoZero"/>
        <c:crossBetween val="midCat"/>
      </c:valAx>
    </c:plotArea>
    <c:legend>
      <c:legendPos val="r"/>
      <c:layout>
        <c:manualLayout>
          <c:xMode val="edge"/>
          <c:yMode val="edge"/>
          <c:x val="0.68531566033446167"/>
          <c:y val="0.53140441331270905"/>
          <c:w val="0.28671369462972379"/>
          <c:h val="0.21256176532508358"/>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2845158134760712"/>
          <c:y val="6.9444403561704324E-2"/>
        </c:manualLayout>
      </c:layout>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scatterChart>
        <c:scatterStyle val="smoothMarker"/>
        <c:varyColors val="0"/>
        <c:ser>
          <c:idx val="0"/>
          <c:order val="0"/>
          <c:tx>
            <c:v>cpu per down trap for parent SAM</c:v>
          </c:tx>
          <c:xVal>
            <c:numLit>
              <c:formatCode>General</c:formatCode>
              <c:ptCount val="5"/>
              <c:pt idx="0">
                <c:v>0</c:v>
              </c:pt>
              <c:pt idx="1">
                <c:v>100</c:v>
              </c:pt>
              <c:pt idx="2">
                <c:v>200</c:v>
              </c:pt>
              <c:pt idx="3">
                <c:v>300</c:v>
              </c:pt>
              <c:pt idx="4">
                <c:v>0</c:v>
              </c:pt>
            </c:numLit>
          </c:xVal>
          <c:yVal>
            <c:numLit>
              <c:formatCode>General</c:formatCode>
              <c:ptCount val="5"/>
              <c:pt idx="0">
                <c:v>4.2666666666666703E-3</c:v>
              </c:pt>
              <c:pt idx="1">
                <c:v>1.11E-2</c:v>
              </c:pt>
              <c:pt idx="2">
                <c:v>1.7299999999999999E-2</c:v>
              </c:pt>
              <c:pt idx="3">
                <c:v>2.64E-2</c:v>
              </c:pt>
              <c:pt idx="4">
                <c:v>0</c:v>
              </c:pt>
            </c:numLit>
          </c:yVal>
          <c:smooth val="1"/>
          <c:extLst>
            <c:ext xmlns:c16="http://schemas.microsoft.com/office/drawing/2014/chart" uri="{C3380CC4-5D6E-409C-BE32-E72D297353CC}">
              <c16:uniqueId val="{00000000-454C-468F-9109-8BAABAA67D76}"/>
            </c:ext>
          </c:extLst>
        </c:ser>
        <c:dLbls>
          <c:showLegendKey val="0"/>
          <c:showVal val="0"/>
          <c:showCatName val="0"/>
          <c:showSerName val="0"/>
          <c:showPercent val="0"/>
          <c:showBubbleSize val="0"/>
        </c:dLbls>
        <c:axId val="329962104"/>
        <c:axId val="330644608"/>
      </c:scatterChart>
      <c:valAx>
        <c:axId val="329962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30644608"/>
        <c:crosses val="autoZero"/>
        <c:crossBetween val="midCat"/>
      </c:valAx>
      <c:valAx>
        <c:axId val="330644608"/>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9962104"/>
        <c:crosses val="autoZero"/>
        <c:crossBetween val="midCat"/>
      </c:valAx>
    </c:plotArea>
    <c:legend>
      <c:legendPos val="r"/>
      <c:layout>
        <c:manualLayout>
          <c:xMode val="edge"/>
          <c:yMode val="edge"/>
          <c:x val="0.6491611621633474"/>
          <c:y val="0.60227411969299238"/>
          <c:w val="0.32563100367417103"/>
          <c:h val="0.16666705199051363"/>
        </c:manualLayout>
      </c:layout>
      <c:overlay val="0"/>
      <c:txPr>
        <a:bodyPr/>
        <a:lstStyle/>
        <a:p>
          <a:pPr>
            <a:defRPr sz="845" b="0"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114300</xdr:colOff>
      <xdr:row>12</xdr:row>
      <xdr:rowOff>53340</xdr:rowOff>
    </xdr:from>
    <xdr:to>
      <xdr:col>13</xdr:col>
      <xdr:colOff>365760</xdr:colOff>
      <xdr:row>20</xdr:row>
      <xdr:rowOff>434340</xdr:rowOff>
    </xdr:to>
    <xdr:graphicFrame macro="">
      <xdr:nvGraphicFramePr>
        <xdr:cNvPr id="7202121" name="Chart 2">
          <a:extLst>
            <a:ext uri="{FF2B5EF4-FFF2-40B4-BE49-F238E27FC236}">
              <a16:creationId xmlns:a16="http://schemas.microsoft.com/office/drawing/2014/main" id="{00000000-0008-0000-0800-000049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236220</xdr:colOff>
      <xdr:row>23</xdr:row>
      <xdr:rowOff>7620</xdr:rowOff>
    </xdr:from>
    <xdr:to>
      <xdr:col>13</xdr:col>
      <xdr:colOff>236220</xdr:colOff>
      <xdr:row>32</xdr:row>
      <xdr:rowOff>7620</xdr:rowOff>
    </xdr:to>
    <xdr:graphicFrame macro="">
      <xdr:nvGraphicFramePr>
        <xdr:cNvPr id="7202122" name="Chart 3">
          <a:extLst>
            <a:ext uri="{FF2B5EF4-FFF2-40B4-BE49-F238E27FC236}">
              <a16:creationId xmlns:a16="http://schemas.microsoft.com/office/drawing/2014/main" id="{00000000-0008-0000-0800-00004A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99060</xdr:colOff>
      <xdr:row>32</xdr:row>
      <xdr:rowOff>22860</xdr:rowOff>
    </xdr:from>
    <xdr:to>
      <xdr:col>12</xdr:col>
      <xdr:colOff>0</xdr:colOff>
      <xdr:row>37</xdr:row>
      <xdr:rowOff>198120</xdr:rowOff>
    </xdr:to>
    <xdr:graphicFrame macro="">
      <xdr:nvGraphicFramePr>
        <xdr:cNvPr id="7202123" name="Chart 4">
          <a:extLst>
            <a:ext uri="{FF2B5EF4-FFF2-40B4-BE49-F238E27FC236}">
              <a16:creationId xmlns:a16="http://schemas.microsoft.com/office/drawing/2014/main" id="{00000000-0008-0000-0800-00004B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160020</xdr:colOff>
      <xdr:row>45</xdr:row>
      <xdr:rowOff>38100</xdr:rowOff>
    </xdr:from>
    <xdr:to>
      <xdr:col>13</xdr:col>
      <xdr:colOff>464820</xdr:colOff>
      <xdr:row>53</xdr:row>
      <xdr:rowOff>144780</xdr:rowOff>
    </xdr:to>
    <xdr:graphicFrame macro="">
      <xdr:nvGraphicFramePr>
        <xdr:cNvPr id="7202124" name="Chart 5">
          <a:extLst>
            <a:ext uri="{FF2B5EF4-FFF2-40B4-BE49-F238E27FC236}">
              <a16:creationId xmlns:a16="http://schemas.microsoft.com/office/drawing/2014/main" id="{00000000-0008-0000-0800-00004C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251460</xdr:colOff>
      <xdr:row>55</xdr:row>
      <xdr:rowOff>144780</xdr:rowOff>
    </xdr:from>
    <xdr:to>
      <xdr:col>13</xdr:col>
      <xdr:colOff>449580</xdr:colOff>
      <xdr:row>65</xdr:row>
      <xdr:rowOff>68580</xdr:rowOff>
    </xdr:to>
    <xdr:graphicFrame macro="">
      <xdr:nvGraphicFramePr>
        <xdr:cNvPr id="7202125" name="Chart 6">
          <a:extLst>
            <a:ext uri="{FF2B5EF4-FFF2-40B4-BE49-F238E27FC236}">
              <a16:creationId xmlns:a16="http://schemas.microsoft.com/office/drawing/2014/main" id="{00000000-0008-0000-0800-00004D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251460</xdr:colOff>
      <xdr:row>65</xdr:row>
      <xdr:rowOff>137160</xdr:rowOff>
    </xdr:from>
    <xdr:to>
      <xdr:col>13</xdr:col>
      <xdr:colOff>182880</xdr:colOff>
      <xdr:row>73</xdr:row>
      <xdr:rowOff>129540</xdr:rowOff>
    </xdr:to>
    <xdr:graphicFrame macro="">
      <xdr:nvGraphicFramePr>
        <xdr:cNvPr id="7202126" name="Chart 7">
          <a:extLst>
            <a:ext uri="{FF2B5EF4-FFF2-40B4-BE49-F238E27FC236}">
              <a16:creationId xmlns:a16="http://schemas.microsoft.com/office/drawing/2014/main" id="{00000000-0008-0000-0800-00004E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289560</xdr:colOff>
      <xdr:row>73</xdr:row>
      <xdr:rowOff>175260</xdr:rowOff>
    </xdr:from>
    <xdr:to>
      <xdr:col>13</xdr:col>
      <xdr:colOff>373380</xdr:colOff>
      <xdr:row>82</xdr:row>
      <xdr:rowOff>304800</xdr:rowOff>
    </xdr:to>
    <xdr:graphicFrame macro="">
      <xdr:nvGraphicFramePr>
        <xdr:cNvPr id="7202127" name="Chart 8">
          <a:extLst>
            <a:ext uri="{FF2B5EF4-FFF2-40B4-BE49-F238E27FC236}">
              <a16:creationId xmlns:a16="http://schemas.microsoft.com/office/drawing/2014/main" id="{00000000-0008-0000-0800-00004F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350520</xdr:colOff>
      <xdr:row>83</xdr:row>
      <xdr:rowOff>7620</xdr:rowOff>
    </xdr:from>
    <xdr:to>
      <xdr:col>12</xdr:col>
      <xdr:colOff>571500</xdr:colOff>
      <xdr:row>90</xdr:row>
      <xdr:rowOff>243840</xdr:rowOff>
    </xdr:to>
    <xdr:graphicFrame macro="">
      <xdr:nvGraphicFramePr>
        <xdr:cNvPr id="7202128" name="Chart 9">
          <a:extLst>
            <a:ext uri="{FF2B5EF4-FFF2-40B4-BE49-F238E27FC236}">
              <a16:creationId xmlns:a16="http://schemas.microsoft.com/office/drawing/2014/main" id="{00000000-0008-0000-0800-000050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114300</xdr:colOff>
      <xdr:row>96</xdr:row>
      <xdr:rowOff>0</xdr:rowOff>
    </xdr:from>
    <xdr:to>
      <xdr:col>13</xdr:col>
      <xdr:colOff>83820</xdr:colOff>
      <xdr:row>106</xdr:row>
      <xdr:rowOff>160020</xdr:rowOff>
    </xdr:to>
    <xdr:graphicFrame macro="">
      <xdr:nvGraphicFramePr>
        <xdr:cNvPr id="7202129" name="Chart 10">
          <a:extLst>
            <a:ext uri="{FF2B5EF4-FFF2-40B4-BE49-F238E27FC236}">
              <a16:creationId xmlns:a16="http://schemas.microsoft.com/office/drawing/2014/main" id="{00000000-0008-0000-0800-000051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160020</xdr:colOff>
      <xdr:row>0</xdr:row>
      <xdr:rowOff>121920</xdr:rowOff>
    </xdr:from>
    <xdr:to>
      <xdr:col>13</xdr:col>
      <xdr:colOff>388620</xdr:colOff>
      <xdr:row>11</xdr:row>
      <xdr:rowOff>38100</xdr:rowOff>
    </xdr:to>
    <xdr:graphicFrame macro="">
      <xdr:nvGraphicFramePr>
        <xdr:cNvPr id="7202130" name="Chart 11">
          <a:extLst>
            <a:ext uri="{FF2B5EF4-FFF2-40B4-BE49-F238E27FC236}">
              <a16:creationId xmlns:a16="http://schemas.microsoft.com/office/drawing/2014/main" id="{00000000-0008-0000-0800-000052E56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Regression_57.extract" connectionId="1" xr16:uid="{00000000-0016-0000-03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OS List" connectionId="2" xr16:uid="{00000000-0016-0000-0300-000001000000}" autoFormatId="16" applyNumberFormats="0" applyBorderFormats="0" applyFontFormats="1" applyPatternFormats="1" applyAlignmentFormats="0" applyWidthHeightFormats="0"/>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vmlDrawing" Target="../drawings/vmlDrawing3.vml"/><Relationship Id="rId1" Type="http://schemas.openxmlformats.org/officeDocument/2006/relationships/printerSettings" Target="../printerSettings/printerSettings5.bin"/><Relationship Id="rId5" Type="http://schemas.openxmlformats.org/officeDocument/2006/relationships/comments" Target="../comments3.xml"/><Relationship Id="rId4" Type="http://schemas.openxmlformats.org/officeDocument/2006/relationships/queryTable" Target="../queryTables/query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hyperlink" Target="../../../../AppData/Local/Microsoft/Windows/Temporary%20Internet%20Files/AppData/Local/Microsoft/Windows/SAMPerfomanceTest/SAMDataArchive/9300" TargetMode="External"/><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B9"/>
  <sheetViews>
    <sheetView tabSelected="1" workbookViewId="0">
      <selection activeCell="A37" sqref="A37"/>
    </sheetView>
  </sheetViews>
  <sheetFormatPr defaultColWidth="8.85546875" defaultRowHeight="12.75"/>
  <cols>
    <col min="1" max="1" width="109" customWidth="1"/>
    <col min="2" max="2" width="52.7109375" style="3" customWidth="1"/>
    <col min="3" max="3" width="8.85546875" customWidth="1"/>
  </cols>
  <sheetData>
    <row r="4" spans="1:2" ht="13.5" thickBot="1"/>
    <row r="5" spans="1:2" ht="37.5">
      <c r="A5" s="388" t="s">
        <v>427</v>
      </c>
      <c r="B5" s="389"/>
    </row>
    <row r="6" spans="1:2" ht="15" customHeight="1">
      <c r="A6" s="400"/>
      <c r="B6" s="389"/>
    </row>
    <row r="7" spans="1:2">
      <c r="A7" s="390"/>
    </row>
    <row r="8" spans="1:2" ht="90.6" customHeight="1">
      <c r="A8" s="399" t="s">
        <v>429</v>
      </c>
      <c r="B8" s="389"/>
    </row>
    <row r="9" spans="1:2" ht="18.75">
      <c r="A9" s="391"/>
      <c r="B9" s="39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8"/>
  <sheetViews>
    <sheetView workbookViewId="0">
      <selection activeCell="A35" sqref="A35"/>
    </sheetView>
  </sheetViews>
  <sheetFormatPr defaultColWidth="8.85546875" defaultRowHeight="12.75"/>
  <cols>
    <col min="1" max="1" width="74.42578125" style="33" customWidth="1"/>
  </cols>
  <sheetData>
    <row r="1" spans="1:1" s="33" customFormat="1" ht="53.1" customHeight="1">
      <c r="A1" s="352" t="s">
        <v>369</v>
      </c>
    </row>
    <row r="2" spans="1:1" s="33" customFormat="1" ht="41.1" customHeight="1">
      <c r="A2" s="352" t="s">
        <v>370</v>
      </c>
    </row>
    <row r="3" spans="1:1" s="3" customFormat="1">
      <c r="A3" s="33"/>
    </row>
    <row r="4" spans="1:1" s="3" customFormat="1">
      <c r="A4" s="33"/>
    </row>
    <row r="5" spans="1:1" s="3" customFormat="1">
      <c r="A5" s="33"/>
    </row>
    <row r="6" spans="1:1" s="3" customFormat="1">
      <c r="A6" s="33"/>
    </row>
    <row r="7" spans="1:1" s="3" customFormat="1">
      <c r="A7" s="33"/>
    </row>
    <row r="8" spans="1:1" s="3" customFormat="1">
      <c r="A8" s="33"/>
    </row>
  </sheetData>
  <phoneticPr fontId="2" type="noConversion"/>
  <pageMargins left="0.21" right="0.2" top="1" bottom="1" header="0.5" footer="0.5"/>
  <pageSetup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82"/>
  <sheetViews>
    <sheetView zoomScaleNormal="100" workbookViewId="0">
      <selection activeCell="F22" sqref="F22"/>
    </sheetView>
  </sheetViews>
  <sheetFormatPr defaultColWidth="8.85546875" defaultRowHeight="12.75" outlineLevelRow="1"/>
  <cols>
    <col min="1" max="1" width="18.42578125" bestFit="1" customWidth="1"/>
    <col min="3" max="3" width="20" customWidth="1"/>
    <col min="4" max="4" width="27" customWidth="1"/>
    <col min="5" max="5" width="20.42578125" customWidth="1"/>
    <col min="6" max="6" width="9.28515625" customWidth="1"/>
    <col min="7" max="7" width="27.7109375" customWidth="1"/>
    <col min="8" max="8" width="14.28515625" customWidth="1"/>
    <col min="9" max="9" width="11.140625" bestFit="1" customWidth="1"/>
    <col min="10" max="11" width="9.28515625" bestFit="1" customWidth="1"/>
    <col min="12" max="12" width="11.140625" bestFit="1" customWidth="1"/>
  </cols>
  <sheetData>
    <row r="1" spans="1:8" ht="14.1" customHeight="1">
      <c r="A1" s="446" t="s">
        <v>423</v>
      </c>
      <c r="B1" s="447"/>
      <c r="C1" s="447"/>
      <c r="D1" s="447"/>
      <c r="E1" s="448"/>
      <c r="F1" s="322"/>
      <c r="G1" s="322"/>
      <c r="H1" s="322"/>
    </row>
    <row r="2" spans="1:8" ht="14.1" customHeight="1" thickBot="1">
      <c r="A2" s="449"/>
      <c r="B2" s="450"/>
      <c r="C2" s="450"/>
      <c r="D2" s="450"/>
      <c r="E2" s="451"/>
      <c r="F2" s="323"/>
      <c r="G2" s="323"/>
      <c r="H2" s="323"/>
    </row>
    <row r="3" spans="1:8" ht="14.1" customHeight="1" thickBot="1">
      <c r="A3" s="407"/>
      <c r="B3" s="408"/>
      <c r="C3" s="408"/>
      <c r="D3" s="408"/>
      <c r="E3" s="408"/>
    </row>
    <row r="4" spans="1:8" ht="14.1" customHeight="1" thickBot="1">
      <c r="A4" s="409" t="s">
        <v>359</v>
      </c>
      <c r="B4" s="409"/>
      <c r="C4" s="409"/>
      <c r="D4" s="409"/>
      <c r="E4" s="410"/>
    </row>
    <row r="5" spans="1:8" ht="14.1" customHeight="1">
      <c r="A5" s="411" t="s">
        <v>360</v>
      </c>
      <c r="B5" s="412"/>
      <c r="C5" s="453" t="s">
        <v>51</v>
      </c>
      <c r="D5" s="454"/>
      <c r="E5" s="70"/>
    </row>
    <row r="6" spans="1:8" ht="14.1" customHeight="1">
      <c r="A6" s="413"/>
      <c r="B6" s="414"/>
      <c r="C6" s="421" t="s">
        <v>52</v>
      </c>
      <c r="D6" s="452"/>
      <c r="E6" s="71"/>
      <c r="F6" s="68"/>
    </row>
    <row r="7" spans="1:8" ht="14.1" customHeight="1">
      <c r="A7" s="413"/>
      <c r="B7" s="414"/>
      <c r="C7" s="421" t="s">
        <v>53</v>
      </c>
      <c r="D7" s="452"/>
      <c r="E7" s="71"/>
      <c r="F7" s="69"/>
    </row>
    <row r="8" spans="1:8" ht="14.1" customHeight="1">
      <c r="A8" s="413"/>
      <c r="B8" s="414"/>
      <c r="C8" s="421" t="s">
        <v>54</v>
      </c>
      <c r="D8" s="452"/>
      <c r="E8" s="71"/>
    </row>
    <row r="9" spans="1:8" ht="14.1" customHeight="1">
      <c r="A9" s="413"/>
      <c r="B9" s="414"/>
      <c r="C9" s="296" t="s">
        <v>118</v>
      </c>
      <c r="D9" s="297"/>
      <c r="E9" s="71"/>
    </row>
    <row r="10" spans="1:8" ht="14.1" customHeight="1">
      <c r="A10" s="413"/>
      <c r="B10" s="414"/>
      <c r="C10" s="296" t="s">
        <v>119</v>
      </c>
      <c r="D10" s="297"/>
      <c r="E10" s="71"/>
      <c r="G10" s="394"/>
    </row>
    <row r="11" spans="1:8" ht="14.1" customHeight="1">
      <c r="A11" s="413"/>
      <c r="B11" s="414"/>
      <c r="C11" s="296" t="s">
        <v>55</v>
      </c>
      <c r="D11" s="297"/>
      <c r="E11" s="72">
        <v>60</v>
      </c>
      <c r="G11" s="394"/>
    </row>
    <row r="12" spans="1:8" ht="14.1" customHeight="1">
      <c r="A12" s="413"/>
      <c r="B12" s="414"/>
      <c r="C12" s="298" t="s">
        <v>164</v>
      </c>
      <c r="D12" s="297"/>
      <c r="E12" s="72"/>
      <c r="G12" s="394"/>
    </row>
    <row r="13" spans="1:8" ht="14.1" customHeight="1">
      <c r="A13" s="413"/>
      <c r="B13" s="414"/>
      <c r="C13" s="298" t="s">
        <v>165</v>
      </c>
      <c r="D13" s="299"/>
      <c r="E13" s="72"/>
      <c r="G13" s="394"/>
    </row>
    <row r="14" spans="1:8" s="11" customFormat="1" ht="14.1" customHeight="1">
      <c r="A14" s="413"/>
      <c r="B14" s="414"/>
      <c r="C14" s="296" t="s">
        <v>75</v>
      </c>
      <c r="D14" s="299"/>
      <c r="E14" s="72">
        <v>0.02</v>
      </c>
      <c r="G14" s="395"/>
    </row>
    <row r="15" spans="1:8" ht="14.1" customHeight="1">
      <c r="A15" s="413"/>
      <c r="B15" s="414"/>
      <c r="C15" s="455" t="s">
        <v>68</v>
      </c>
      <c r="D15" s="456"/>
      <c r="E15" s="71">
        <v>0</v>
      </c>
      <c r="F15" s="11"/>
      <c r="G15" s="394"/>
    </row>
    <row r="16" spans="1:8" ht="14.1" customHeight="1">
      <c r="A16" s="413"/>
      <c r="B16" s="414"/>
      <c r="C16" s="460" t="s">
        <v>152</v>
      </c>
      <c r="D16" s="461"/>
      <c r="E16" s="71">
        <v>0</v>
      </c>
      <c r="G16" s="394"/>
    </row>
    <row r="17" spans="1:12" ht="14.1" customHeight="1">
      <c r="A17" s="413"/>
      <c r="B17" s="414"/>
      <c r="C17" s="458" t="s">
        <v>378</v>
      </c>
      <c r="D17" s="459"/>
      <c r="E17" s="71">
        <v>0</v>
      </c>
      <c r="G17" s="396"/>
      <c r="H17" s="1"/>
    </row>
    <row r="18" spans="1:12" ht="14.1" customHeight="1">
      <c r="A18" s="413"/>
      <c r="B18" s="414"/>
      <c r="C18" s="421" t="s">
        <v>56</v>
      </c>
      <c r="D18" s="452"/>
      <c r="E18" s="72">
        <v>0</v>
      </c>
      <c r="G18" s="396"/>
      <c r="H18" s="1"/>
    </row>
    <row r="19" spans="1:12" ht="14.1" customHeight="1">
      <c r="A19" s="413"/>
      <c r="B19" s="414"/>
      <c r="C19" s="421" t="s">
        <v>58</v>
      </c>
      <c r="D19" s="422"/>
      <c r="E19" s="73">
        <v>0</v>
      </c>
      <c r="G19" s="396"/>
      <c r="H19" s="1"/>
    </row>
    <row r="20" spans="1:12" ht="24" customHeight="1">
      <c r="A20" s="413"/>
      <c r="B20" s="414"/>
      <c r="C20" s="457" t="s">
        <v>166</v>
      </c>
      <c r="D20" s="422"/>
      <c r="E20" s="74">
        <v>3.472222222222222E-3</v>
      </c>
      <c r="G20" s="396"/>
      <c r="H20" s="1"/>
    </row>
    <row r="21" spans="1:12" ht="14.1" customHeight="1">
      <c r="A21" s="413"/>
      <c r="B21" s="414"/>
      <c r="C21" s="296" t="s">
        <v>117</v>
      </c>
      <c r="D21" s="300"/>
      <c r="E21" s="75"/>
      <c r="G21" s="396"/>
      <c r="H21" s="1"/>
    </row>
    <row r="22" spans="1:12" ht="14.1" customHeight="1">
      <c r="A22" s="413"/>
      <c r="B22" s="414"/>
      <c r="C22" s="460" t="s">
        <v>425</v>
      </c>
      <c r="D22" s="461"/>
      <c r="E22" s="75">
        <v>0</v>
      </c>
      <c r="G22" s="396"/>
      <c r="H22" s="1"/>
    </row>
    <row r="23" spans="1:12" ht="14.1" customHeight="1">
      <c r="A23" s="413"/>
      <c r="B23" s="414"/>
      <c r="C23" s="421" t="s">
        <v>69</v>
      </c>
      <c r="D23" s="422"/>
      <c r="E23" s="75">
        <v>0</v>
      </c>
      <c r="G23" s="396"/>
      <c r="H23" s="1"/>
    </row>
    <row r="24" spans="1:12" ht="14.25" customHeight="1" thickBot="1">
      <c r="A24" s="415"/>
      <c r="B24" s="416"/>
      <c r="C24" s="430" t="s">
        <v>60</v>
      </c>
      <c r="D24" s="431"/>
      <c r="E24" s="321" t="s">
        <v>379</v>
      </c>
      <c r="G24" s="396"/>
      <c r="H24" s="1"/>
    </row>
    <row r="25" spans="1:12" ht="14.25" customHeight="1" thickBot="1">
      <c r="A25" s="407"/>
      <c r="B25" s="408"/>
      <c r="C25" s="408"/>
      <c r="D25" s="408"/>
      <c r="E25" s="420"/>
      <c r="G25" s="396"/>
      <c r="H25" s="1"/>
    </row>
    <row r="26" spans="1:12" ht="14.25" customHeight="1" thickBot="1">
      <c r="A26" s="417" t="s">
        <v>361</v>
      </c>
      <c r="B26" s="418"/>
      <c r="C26" s="418"/>
      <c r="D26" s="418"/>
      <c r="E26" s="419"/>
      <c r="G26" s="396"/>
      <c r="H26" s="1"/>
      <c r="I26" s="10"/>
      <c r="J26" s="10"/>
      <c r="K26" s="10"/>
      <c r="L26" s="10"/>
    </row>
    <row r="27" spans="1:12" ht="14.25" customHeight="1" thickBot="1">
      <c r="A27" s="427" t="s">
        <v>362</v>
      </c>
      <c r="B27" s="428"/>
      <c r="C27" s="428"/>
      <c r="D27" s="428"/>
      <c r="E27" s="429"/>
      <c r="G27" s="396"/>
      <c r="H27" s="1"/>
      <c r="I27" s="10"/>
      <c r="J27" s="10"/>
      <c r="K27" s="10"/>
      <c r="L27" s="10"/>
    </row>
    <row r="28" spans="1:12" ht="14.25" hidden="1" customHeight="1" outlineLevel="1">
      <c r="A28" s="411" t="s">
        <v>363</v>
      </c>
      <c r="B28" s="412"/>
      <c r="C28" s="434" t="s">
        <v>51</v>
      </c>
      <c r="D28" s="435"/>
      <c r="E28" s="301">
        <f>CEILING(E5*Growth,1)</f>
        <v>0</v>
      </c>
      <c r="G28" s="396"/>
      <c r="H28" s="1"/>
      <c r="I28" s="10"/>
      <c r="J28" s="10"/>
      <c r="K28" s="10"/>
      <c r="L28" s="10"/>
    </row>
    <row r="29" spans="1:12" ht="14.25" hidden="1" customHeight="1" outlineLevel="1">
      <c r="A29" s="413"/>
      <c r="B29" s="414"/>
      <c r="C29" s="423" t="s">
        <v>52</v>
      </c>
      <c r="D29" s="424"/>
      <c r="E29" s="302">
        <f>CEILING(E6*Growth,1)</f>
        <v>0</v>
      </c>
      <c r="G29" s="396"/>
      <c r="H29" s="1"/>
      <c r="I29" s="10"/>
      <c r="J29" s="10"/>
      <c r="K29" s="10"/>
      <c r="L29" s="10"/>
    </row>
    <row r="30" spans="1:12" ht="14.25" hidden="1" customHeight="1" outlineLevel="1">
      <c r="A30" s="413"/>
      <c r="B30" s="414"/>
      <c r="C30" s="423" t="s">
        <v>53</v>
      </c>
      <c r="D30" s="424"/>
      <c r="E30" s="302">
        <f>E7*(1+$E$19)^$E$18</f>
        <v>0</v>
      </c>
      <c r="G30" s="396"/>
      <c r="H30" s="1"/>
      <c r="I30" s="10"/>
      <c r="J30" s="10"/>
      <c r="K30" s="10"/>
      <c r="L30" s="10"/>
    </row>
    <row r="31" spans="1:12" ht="14.25" hidden="1" customHeight="1" outlineLevel="1">
      <c r="A31" s="413"/>
      <c r="B31" s="414"/>
      <c r="C31" s="423" t="s">
        <v>54</v>
      </c>
      <c r="D31" s="424"/>
      <c r="E31" s="302">
        <f>E8*(1+$E$19)^$E$18</f>
        <v>0</v>
      </c>
      <c r="G31" s="396"/>
      <c r="H31" s="1"/>
      <c r="I31" s="10"/>
      <c r="J31" s="10"/>
      <c r="K31" s="10"/>
      <c r="L31" s="10"/>
    </row>
    <row r="32" spans="1:12" ht="14.25" hidden="1" customHeight="1" outlineLevel="1">
      <c r="A32" s="413"/>
      <c r="B32" s="414"/>
      <c r="C32" s="423" t="s">
        <v>130</v>
      </c>
      <c r="D32" s="424"/>
      <c r="E32" s="302">
        <f>SUM(E28:E31)</f>
        <v>0</v>
      </c>
      <c r="G32" s="396"/>
      <c r="H32" s="1"/>
      <c r="I32" s="10"/>
      <c r="J32" s="10"/>
      <c r="K32" s="10"/>
      <c r="L32" s="10"/>
    </row>
    <row r="33" spans="1:12" ht="14.25" hidden="1" customHeight="1" outlineLevel="1">
      <c r="A33" s="413"/>
      <c r="B33" s="414"/>
      <c r="C33" s="423" t="s">
        <v>364</v>
      </c>
      <c r="D33" s="424"/>
      <c r="E33" s="302">
        <f>10*E28+SUM(E29:E31)</f>
        <v>0</v>
      </c>
      <c r="G33" s="396"/>
      <c r="H33" s="1"/>
      <c r="I33" s="10"/>
      <c r="J33" s="10"/>
      <c r="K33" s="10"/>
      <c r="L33" s="10"/>
    </row>
    <row r="34" spans="1:12" ht="14.25" hidden="1" customHeight="1" outlineLevel="1">
      <c r="A34" s="413"/>
      <c r="B34" s="414"/>
      <c r="C34" s="423" t="s">
        <v>365</v>
      </c>
      <c r="D34" s="424"/>
      <c r="E34" s="302">
        <f>20*E28+SUM(E29:E31)</f>
        <v>0</v>
      </c>
      <c r="G34" s="396"/>
      <c r="H34" s="1"/>
      <c r="I34" s="10"/>
      <c r="J34" s="10"/>
      <c r="K34" s="10"/>
      <c r="L34" s="10"/>
    </row>
    <row r="35" spans="1:12" hidden="1" outlineLevel="1">
      <c r="A35" s="413"/>
      <c r="B35" s="414"/>
      <c r="C35" s="423" t="s">
        <v>366</v>
      </c>
      <c r="D35" s="424"/>
      <c r="E35" s="302">
        <f>60*E29+SUM(E30:E31)</f>
        <v>0</v>
      </c>
      <c r="G35" s="396"/>
      <c r="H35" s="1"/>
      <c r="I35" s="10"/>
      <c r="J35" s="10"/>
      <c r="K35" s="10"/>
      <c r="L35" s="10"/>
    </row>
    <row r="36" spans="1:12" hidden="1" outlineLevel="1">
      <c r="A36" s="413"/>
      <c r="B36" s="414"/>
      <c r="C36" s="423" t="s">
        <v>57</v>
      </c>
      <c r="D36" s="424"/>
      <c r="E36" s="302">
        <f>IF(E10&gt;0,E10*Growth,E29*60*0.06+SUM(E30:E31))</f>
        <v>0</v>
      </c>
      <c r="G36" s="396"/>
      <c r="H36" s="1"/>
      <c r="I36" s="10"/>
      <c r="J36" s="10"/>
      <c r="K36" s="10"/>
      <c r="L36" s="10"/>
    </row>
    <row r="37" spans="1:12" hidden="1" outlineLevel="1">
      <c r="A37" s="413"/>
      <c r="B37" s="414"/>
      <c r="C37" s="423" t="s">
        <v>59</v>
      </c>
      <c r="D37" s="424"/>
      <c r="E37" s="302">
        <f>IF(E9&gt;0,E9*Growth,E34*0.9)</f>
        <v>0</v>
      </c>
      <c r="G37" s="396"/>
      <c r="H37" s="1"/>
      <c r="I37" s="10"/>
      <c r="J37" s="10"/>
      <c r="K37" s="10"/>
      <c r="L37" s="10"/>
    </row>
    <row r="38" spans="1:12" ht="14.25" hidden="1" customHeight="1" outlineLevel="1">
      <c r="A38" s="413"/>
      <c r="B38" s="414"/>
      <c r="C38" s="423" t="s">
        <v>67</v>
      </c>
      <c r="D38" s="424"/>
      <c r="E38" s="302">
        <f>SUM(E36,E37)</f>
        <v>0</v>
      </c>
      <c r="G38" s="396"/>
      <c r="H38" s="1"/>
      <c r="I38" s="10"/>
      <c r="J38" s="10"/>
      <c r="K38" s="10"/>
      <c r="L38" s="10"/>
    </row>
    <row r="39" spans="1:12" ht="14.25" hidden="1" customHeight="1" outlineLevel="1" thickBot="1">
      <c r="A39" s="415"/>
      <c r="B39" s="416"/>
      <c r="C39" s="442" t="s">
        <v>5</v>
      </c>
      <c r="D39" s="443"/>
      <c r="E39" s="76">
        <f>+TotalManagedPandI/ManagedPortsAndInterfacesPerIPNetwork</f>
        <v>0</v>
      </c>
      <c r="G39" s="396"/>
      <c r="H39" s="1"/>
      <c r="I39" s="10"/>
      <c r="J39" s="10"/>
      <c r="K39" s="10"/>
      <c r="L39" s="10"/>
    </row>
    <row r="40" spans="1:12" ht="15" customHeight="1" collapsed="1" thickBot="1">
      <c r="A40" s="407"/>
      <c r="B40" s="408"/>
      <c r="C40" s="408"/>
      <c r="D40" s="408"/>
      <c r="E40" s="420"/>
      <c r="G40" s="396"/>
      <c r="H40" s="1"/>
      <c r="I40" s="10"/>
      <c r="J40" s="10"/>
      <c r="K40" s="10"/>
      <c r="L40" s="10"/>
    </row>
    <row r="41" spans="1:12" ht="14.25" hidden="1" customHeight="1" outlineLevel="1">
      <c r="A41" s="436" t="s">
        <v>367</v>
      </c>
      <c r="B41" s="437"/>
      <c r="C41" s="444" t="s">
        <v>115</v>
      </c>
      <c r="D41" s="445"/>
      <c r="E41" s="281">
        <f>(1+GrowthPerYear)^YearsToGrow</f>
        <v>1</v>
      </c>
      <c r="G41" s="396"/>
      <c r="H41" s="1"/>
      <c r="I41" s="10"/>
      <c r="J41" s="10"/>
      <c r="K41" s="10"/>
      <c r="L41" s="10"/>
    </row>
    <row r="42" spans="1:12" ht="14.25" hidden="1" customHeight="1" outlineLevel="1">
      <c r="A42" s="438"/>
      <c r="B42" s="439"/>
      <c r="C42" s="303" t="s">
        <v>138</v>
      </c>
      <c r="D42" s="59"/>
      <c r="E42" s="31">
        <f>+MaxReconnectTime/OneSecond</f>
        <v>300</v>
      </c>
      <c r="G42" s="396"/>
      <c r="H42" s="1"/>
      <c r="I42" s="10"/>
      <c r="J42" s="10"/>
      <c r="K42" s="10"/>
      <c r="L42" s="10"/>
    </row>
    <row r="43" spans="1:12" ht="14.25" hidden="1" customHeight="1" outlineLevel="1">
      <c r="A43" s="438"/>
      <c r="B43" s="439"/>
      <c r="C43" s="303" t="s">
        <v>116</v>
      </c>
      <c r="D43" s="59"/>
      <c r="E43" s="305">
        <f>IF(EnteredOutstandingNotifications&gt;0,EnteredOutstandingNotifications,TotalManagedPandI*ActiveNotificationsPerManagedPortOrInterface)</f>
        <v>0</v>
      </c>
      <c r="G43" s="396"/>
      <c r="H43" s="1"/>
      <c r="I43" s="10"/>
      <c r="J43" s="10"/>
      <c r="K43" s="10"/>
      <c r="L43" s="10"/>
    </row>
    <row r="44" spans="1:12" ht="14.25" hidden="1" customHeight="1" outlineLevel="1">
      <c r="A44" s="438"/>
      <c r="B44" s="439"/>
      <c r="C44" s="425" t="s">
        <v>132</v>
      </c>
      <c r="D44" s="426"/>
      <c r="E44" s="306">
        <f>VLOOKUP(OS,[0]!SpecIntSpeed,2)/SpecIntCPUSpeed</f>
        <v>0.48333333333333334</v>
      </c>
      <c r="G44" s="396"/>
      <c r="H44" s="1"/>
      <c r="I44" s="10"/>
      <c r="J44" s="10"/>
      <c r="K44" s="10"/>
      <c r="L44" s="10"/>
    </row>
    <row r="45" spans="1:12" s="10" customFormat="1" hidden="1" outlineLevel="1">
      <c r="A45" s="438"/>
      <c r="B45" s="439"/>
      <c r="C45" s="303" t="s">
        <v>135</v>
      </c>
      <c r="D45" s="59"/>
      <c r="E45" s="307">
        <f>(TotalUCSs*VLOOKUP(OS,ToposyncCPU,3)+IPNetworks*VLOOKUP(OS,ToposyncCPU,4))*(1-VLOOKUP(OS,ToposyncCompressionPercent,2))*CPUSpeedRatio</f>
        <v>0</v>
      </c>
      <c r="F45"/>
      <c r="G45" s="396"/>
    </row>
    <row r="46" spans="1:12" s="10" customFormat="1" hidden="1" outlineLevel="1">
      <c r="A46" s="438"/>
      <c r="B46" s="439"/>
      <c r="C46" s="303" t="s">
        <v>134</v>
      </c>
      <c r="D46" s="59"/>
      <c r="E46" s="307">
        <f>IPNetworks*LatencyToIPs</f>
        <v>0</v>
      </c>
      <c r="F46"/>
      <c r="G46" s="396"/>
    </row>
    <row r="47" spans="1:12" s="10" customFormat="1" hidden="1" outlineLevel="1">
      <c r="A47" s="438"/>
      <c r="B47" s="439"/>
      <c r="C47" s="303" t="s">
        <v>131</v>
      </c>
      <c r="D47" s="59"/>
      <c r="E47" s="307">
        <f>+ExpectedOutstandingNotifications*VLOOKUP(OS,CPUPerDownEvent,2)*CPUSpeedRatio</f>
        <v>0</v>
      </c>
      <c r="F47"/>
      <c r="G47" s="396"/>
    </row>
    <row r="48" spans="1:12" s="10" customFormat="1" hidden="1" outlineLevel="1">
      <c r="A48" s="438"/>
      <c r="B48" s="439"/>
      <c r="C48" s="303" t="s">
        <v>133</v>
      </c>
      <c r="D48" s="59"/>
      <c r="E48" s="307">
        <f>+ExpectedOutstandingNotifications*AttributesPerIPNotification*LatencyToIPs</f>
        <v>0</v>
      </c>
      <c r="F48"/>
      <c r="G48" s="396"/>
    </row>
    <row r="49" spans="1:7" s="10" customFormat="1" hidden="1" outlineLevel="1">
      <c r="A49" s="438"/>
      <c r="B49" s="439"/>
      <c r="C49" s="387" t="s">
        <v>136</v>
      </c>
      <c r="D49" s="59"/>
      <c r="E49" s="308">
        <f>+(AggregateTopoSyncCPUTime/VLOOKUP(OS,MaxCPUUtilizationForToposyncs,2))/MaxReconnectTimeInSeconds</f>
        <v>0</v>
      </c>
      <c r="F49"/>
      <c r="G49" s="396"/>
    </row>
    <row r="50" spans="1:7" s="10" customFormat="1" hidden="1" outlineLevel="1">
      <c r="A50" s="438"/>
      <c r="B50" s="439"/>
      <c r="C50" s="387" t="s">
        <v>139</v>
      </c>
      <c r="D50" s="59"/>
      <c r="E50" s="308">
        <f>+(AggregateNotificationCPUTime/VLOOKUP(OS,MaxDownEventCPUUtilizationForSourceOrDestination,2))/MaxReconnectTimeInSeconds</f>
        <v>0</v>
      </c>
      <c r="F50"/>
      <c r="G50" s="396"/>
    </row>
    <row r="51" spans="1:7" s="10" customFormat="1" hidden="1" outlineLevel="1">
      <c r="A51" s="438"/>
      <c r="B51" s="439"/>
      <c r="C51" s="303" t="s">
        <v>140</v>
      </c>
      <c r="D51" s="59"/>
      <c r="E51" s="308">
        <f>IF(IPServers&gt;0,+AggregateTopoSyncCPUTime/IPServers,0)</f>
        <v>0</v>
      </c>
      <c r="F51"/>
      <c r="G51" s="396"/>
    </row>
    <row r="52" spans="1:7" s="10" customFormat="1" ht="25.5" hidden="1" customHeight="1" outlineLevel="1">
      <c r="A52" s="438"/>
      <c r="B52" s="439"/>
      <c r="C52" s="303" t="s">
        <v>141</v>
      </c>
      <c r="D52" s="59"/>
      <c r="E52" s="308">
        <f>IF(IPServers&gt;0,AggregateNotificationCPUTime/IPServers,0)</f>
        <v>0</v>
      </c>
      <c r="F52"/>
      <c r="G52" s="396"/>
    </row>
    <row r="53" spans="1:7" s="10" customFormat="1" hidden="1" outlineLevel="1">
      <c r="A53" s="438"/>
      <c r="B53" s="439"/>
      <c r="C53" s="303" t="s">
        <v>142</v>
      </c>
      <c r="D53" s="59"/>
      <c r="E53" s="308">
        <f>+ToposyncCPUPerIPServer+NotificationCPUPerIPServer</f>
        <v>0</v>
      </c>
      <c r="F53"/>
      <c r="G53" s="396"/>
    </row>
    <row r="54" spans="1:7" s="10" customFormat="1" hidden="1" outlineLevel="1">
      <c r="A54" s="438"/>
      <c r="B54" s="439"/>
      <c r="C54" s="303" t="s">
        <v>143</v>
      </c>
      <c r="D54" s="59"/>
      <c r="E54" s="306">
        <f>IF(IPServers&gt;0,AggregateToposyncLatency/IPServers,0)</f>
        <v>0</v>
      </c>
      <c r="F54"/>
      <c r="G54" s="396"/>
    </row>
    <row r="55" spans="1:7" s="10" customFormat="1" hidden="1" outlineLevel="1">
      <c r="A55" s="438"/>
      <c r="B55" s="439"/>
      <c r="C55" s="303" t="s">
        <v>145</v>
      </c>
      <c r="D55" s="59"/>
      <c r="E55" s="308">
        <f>IF(IPServers&gt;0,AggregateNotificationLatency/IPServers,0)</f>
        <v>0</v>
      </c>
      <c r="F55"/>
      <c r="G55" s="396"/>
    </row>
    <row r="56" spans="1:7" s="10" customFormat="1" hidden="1" outlineLevel="1">
      <c r="A56" s="438"/>
      <c r="B56" s="439"/>
      <c r="C56" s="303" t="s">
        <v>144</v>
      </c>
      <c r="D56" s="59"/>
      <c r="E56" s="308">
        <f>+ToposyncLatencyPerIPServer+NotificationLatencyPerIPServer</f>
        <v>0</v>
      </c>
      <c r="F56"/>
      <c r="G56" s="396"/>
    </row>
    <row r="57" spans="1:7" s="10" customFormat="1" hidden="1" outlineLevel="1">
      <c r="A57" s="438"/>
      <c r="B57" s="439"/>
      <c r="C57" s="303" t="s">
        <v>146</v>
      </c>
      <c r="D57" s="59"/>
      <c r="E57" s="308">
        <f>+ReconnectCPUPerIPServer+ReconnectLatencyPerIPServer</f>
        <v>0</v>
      </c>
      <c r="F57"/>
      <c r="G57" s="396"/>
    </row>
    <row r="58" spans="1:7" s="10" customFormat="1" hidden="1" outlineLevel="1">
      <c r="A58" s="438"/>
      <c r="B58" s="439"/>
      <c r="C58" s="304" t="s">
        <v>149</v>
      </c>
      <c r="D58" s="59"/>
      <c r="E58" s="308">
        <f>AggregateSAMsForNotificationCPU+AggregateSAMsForToposyncCPu</f>
        <v>0</v>
      </c>
      <c r="F58"/>
      <c r="G58" s="396"/>
    </row>
    <row r="59" spans="1:7" s="10" customFormat="1" hidden="1" outlineLevel="1">
      <c r="A59" s="438"/>
      <c r="B59" s="439"/>
      <c r="C59" s="425"/>
      <c r="D59" s="426"/>
      <c r="E59" s="308"/>
      <c r="F59"/>
      <c r="G59" s="396"/>
    </row>
    <row r="60" spans="1:7" s="10" customFormat="1" hidden="1" outlineLevel="1">
      <c r="A60" s="438"/>
      <c r="B60" s="439"/>
      <c r="C60" s="425" t="s">
        <v>150</v>
      </c>
      <c r="D60" s="426"/>
      <c r="E60" s="309">
        <f>+TrapRate*VLOOKUP(OS,CpuPerDownTrap,3)</f>
        <v>0</v>
      </c>
      <c r="F60"/>
      <c r="G60" s="396"/>
    </row>
    <row r="61" spans="1:7" s="10" customFormat="1" hidden="1" outlineLevel="1">
      <c r="A61" s="438"/>
      <c r="B61" s="439"/>
      <c r="C61" s="303" t="s">
        <v>154</v>
      </c>
      <c r="D61" s="59"/>
      <c r="E61" s="309">
        <f>MIN(OIServers*VLOOKUP(OS,MaxCPUUtilizationPerOIServer,2),VLOOKUP(OS,MaxCPUUtilizationForDownTraps,2))</f>
        <v>0</v>
      </c>
      <c r="F61"/>
      <c r="G61" s="396"/>
    </row>
    <row r="62" spans="1:7" s="10" customFormat="1" hidden="1" outlineLevel="1">
      <c r="A62" s="438"/>
      <c r="B62" s="439"/>
      <c r="C62" s="303" t="s">
        <v>151</v>
      </c>
      <c r="D62" s="59"/>
      <c r="E62" s="308">
        <f>IF(AND(AggregateTrapCPU&gt;0, MaxCPUUtilizationForTraps&gt;0),AggregateTrapCPU/MaxCPUUtilizationForTraps,0)</f>
        <v>0</v>
      </c>
      <c r="F62"/>
      <c r="G62" s="393"/>
    </row>
    <row r="63" spans="1:7" s="10" customFormat="1" hidden="1" outlineLevel="1">
      <c r="A63" s="438"/>
      <c r="B63" s="439"/>
      <c r="C63" s="425" t="s">
        <v>161</v>
      </c>
      <c r="D63" s="426"/>
      <c r="E63" s="308">
        <f>MAX(AggSAMsForToposyncAndNotifications,AggSAMsForTraps)</f>
        <v>0</v>
      </c>
      <c r="F63"/>
      <c r="G63" s="393">
        <f>ABS(FractionalAggSAMs-TRUNC(FractionalAggSAMs))</f>
        <v>0</v>
      </c>
    </row>
    <row r="64" spans="1:7" s="10" customFormat="1" hidden="1" outlineLevel="1">
      <c r="A64" s="438"/>
      <c r="B64" s="439"/>
      <c r="C64" s="425" t="s">
        <v>147</v>
      </c>
      <c r="D64" s="426"/>
      <c r="E64" s="308">
        <f>IF(G63&lt;0.1,FLOOR(FractionalAggSAMs,1),CEILING(FractionalAggSAMs,1))</f>
        <v>0</v>
      </c>
      <c r="F64"/>
      <c r="G64" s="393"/>
    </row>
    <row r="65" spans="1:10" s="10" customFormat="1" hidden="1" outlineLevel="1">
      <c r="A65" s="438"/>
      <c r="B65" s="439"/>
      <c r="C65" s="425"/>
      <c r="D65" s="426"/>
      <c r="E65" s="308"/>
      <c r="F65"/>
      <c r="G65" s="396"/>
    </row>
    <row r="66" spans="1:10" s="10" customFormat="1" hidden="1" outlineLevel="1">
      <c r="A66" s="438"/>
      <c r="B66" s="439"/>
      <c r="C66" s="303" t="s">
        <v>156</v>
      </c>
      <c r="D66" s="59"/>
      <c r="E66" s="310">
        <f>+VLOOKUP(OS,CPUPerDownEvent,6)*CPUSpeedRatio</f>
        <v>3.9488616413151871E-5</v>
      </c>
      <c r="F66"/>
      <c r="G66" s="396"/>
    </row>
    <row r="67" spans="1:10" s="10" customFormat="1" hidden="1" outlineLevel="1">
      <c r="A67" s="438"/>
      <c r="B67" s="439"/>
      <c r="C67" s="303" t="s">
        <v>157</v>
      </c>
      <c r="D67" s="59"/>
      <c r="E67" s="308">
        <f>+ExpectedOutstandingNotifications*ConsoleCPUPerDownEvent</f>
        <v>0</v>
      </c>
      <c r="F67"/>
      <c r="G67" s="396"/>
    </row>
    <row r="68" spans="1:10" s="10" customFormat="1" hidden="1" outlineLevel="1">
      <c r="A68" s="438"/>
      <c r="B68" s="439"/>
      <c r="C68" s="425" t="s">
        <v>158</v>
      </c>
      <c r="D68" s="426"/>
      <c r="E68" s="308">
        <f>+NumberOfConsoles*ConsolesNotificationCPU</f>
        <v>0</v>
      </c>
      <c r="F68"/>
      <c r="G68" s="396"/>
    </row>
    <row r="69" spans="1:10" s="10" customFormat="1" hidden="1" outlineLevel="1">
      <c r="A69" s="438"/>
      <c r="B69" s="439"/>
      <c r="C69" s="303" t="s">
        <v>160</v>
      </c>
      <c r="D69" s="59"/>
      <c r="E69" s="308">
        <f>TotalConsolesCPU/MaxReconnectTimeInSeconds</f>
        <v>0</v>
      </c>
      <c r="F69"/>
      <c r="G69" s="396"/>
    </row>
    <row r="70" spans="1:10" s="10" customFormat="1" ht="13.5" hidden="1" outlineLevel="1" thickBot="1">
      <c r="A70" s="440"/>
      <c r="B70" s="441"/>
      <c r="C70" s="311" t="s">
        <v>159</v>
      </c>
      <c r="D70" s="312"/>
      <c r="E70" s="313">
        <f>IF((AggSAMsForToposyncAndNotifications+FractionalPresentationSAMsNeeded)&lt;1,1,IF(CEILING(FractionalPresentationSAMsNeeded,1)&lt;1,1,CEILING(FractionalPresentationSAMsNeeded,1)))</f>
        <v>1</v>
      </c>
      <c r="F70"/>
      <c r="G70" s="396"/>
    </row>
    <row r="71" spans="1:10" s="10" customFormat="1" ht="13.5" hidden="1" outlineLevel="1" thickBot="1">
      <c r="C71" s="432"/>
      <c r="D71" s="432"/>
      <c r="E71" s="433"/>
      <c r="F71"/>
      <c r="G71" s="396"/>
    </row>
    <row r="72" spans="1:10" ht="54" customHeight="1" collapsed="1" thickBot="1">
      <c r="A72" s="314"/>
      <c r="B72" s="315" t="s">
        <v>168</v>
      </c>
      <c r="C72" s="316" t="s">
        <v>167</v>
      </c>
      <c r="D72" s="316" t="s">
        <v>70</v>
      </c>
      <c r="E72" s="317" t="s">
        <v>71</v>
      </c>
      <c r="F72" s="401" t="s">
        <v>428</v>
      </c>
      <c r="G72" s="397"/>
      <c r="H72" s="1"/>
      <c r="I72" s="1"/>
      <c r="J72" s="1"/>
    </row>
    <row r="73" spans="1:10">
      <c r="A73" s="318" t="s">
        <v>6</v>
      </c>
      <c r="B73" s="65">
        <f>IF(FractionalAggSAMs&lt;1,1,AggSAMsRequired)</f>
        <v>1</v>
      </c>
      <c r="C73" s="64">
        <f>IF(FractionalAggSAMs&lt; 1,MaxCoresPerSAM,IF(FractionalAggSAMs&lt;1,CEILING(FractionalAggSAMs*MaxCoresPerSAM,1),AggSAMsRequired*MaxCoresPerSAM))</f>
        <v>4</v>
      </c>
      <c r="D73" s="64">
        <f>IF(FractionalAggSAMs&lt;1,138,IF(AggSAMsRequired&gt;0,(VLOOKUP(OS,Memory,2)+(VLOOKUP(OS,Memory,6)*(IPServers+OIServers)+VLOOKUP(OS,Memory,4)*IPNetworks+VLOOKUP(OS,Memory,5)*RetainedNotifications)/AggSAMsRequired)/(1024*1024),0))</f>
        <v>138</v>
      </c>
      <c r="E73" s="403">
        <f>+B73*D73</f>
        <v>138</v>
      </c>
      <c r="F73" s="405">
        <f>_xlfn.CEILING.MATH(C73/B73)</f>
        <v>4</v>
      </c>
      <c r="G73" s="397"/>
      <c r="H73" s="1"/>
      <c r="I73" s="1"/>
      <c r="J73" s="1"/>
    </row>
    <row r="74" spans="1:10">
      <c r="A74" s="319" t="s">
        <v>7</v>
      </c>
      <c r="B74" s="66">
        <f>_xlfn.CEILING.MATH(B73/4)</f>
        <v>1</v>
      </c>
      <c r="C74" s="60">
        <f>B74*MaxCoresPerPresSAM</f>
        <v>4</v>
      </c>
      <c r="D74" s="60">
        <v>2048</v>
      </c>
      <c r="E74" s="403">
        <f>+B74*D74</f>
        <v>2048</v>
      </c>
      <c r="F74" s="406">
        <f t="shared" ref="F74:F76" si="0">_xlfn.CEILING.MATH(C74/B74)</f>
        <v>4</v>
      </c>
      <c r="G74" s="394"/>
    </row>
    <row r="75" spans="1:10">
      <c r="A75" s="319" t="s">
        <v>424</v>
      </c>
      <c r="B75" s="66">
        <f>TrapRate/40</f>
        <v>0</v>
      </c>
      <c r="C75" s="60">
        <f>B75*4</f>
        <v>0</v>
      </c>
      <c r="D75" s="60">
        <f>IF(B75,4096,0)</f>
        <v>0</v>
      </c>
      <c r="E75" s="403">
        <f>C75*D75</f>
        <v>0</v>
      </c>
      <c r="F75" s="406">
        <f>IF(B75&gt;0,_xlfn.CEILING.MATH(C75/B75),0)</f>
        <v>0</v>
      </c>
      <c r="G75" s="394"/>
    </row>
    <row r="76" spans="1:10">
      <c r="A76" s="319" t="s">
        <v>163</v>
      </c>
      <c r="B76" s="66">
        <f>SUM(B73:B75)</f>
        <v>2</v>
      </c>
      <c r="C76" s="60">
        <f>SUM(C73:C75)</f>
        <v>8</v>
      </c>
      <c r="D76" s="60">
        <f>SUM(D73:D75)</f>
        <v>2186</v>
      </c>
      <c r="E76" s="404">
        <f>SUM(E73:E75)</f>
        <v>2186</v>
      </c>
      <c r="F76" s="406">
        <f t="shared" si="0"/>
        <v>4</v>
      </c>
      <c r="G76" s="394"/>
    </row>
    <row r="77" spans="1:10" ht="13.5" thickBot="1">
      <c r="A77" s="320" t="s">
        <v>148</v>
      </c>
      <c r="B77" s="67" t="str">
        <f>IF(ReconnectCPUPerIPServer&gt;MaxReconnectTimeInSeconds,"Individual IP server reconnect time is greater than max allowed","")</f>
        <v/>
      </c>
      <c r="C77" s="61"/>
      <c r="D77" s="62"/>
      <c r="E77" s="63"/>
      <c r="F77" s="402"/>
      <c r="G77" s="394"/>
    </row>
    <row r="82" spans="4:4">
      <c r="D82" s="14"/>
    </row>
  </sheetData>
  <dataConsolidate/>
  <mergeCells count="44">
    <mergeCell ref="A1:E2"/>
    <mergeCell ref="C36:D36"/>
    <mergeCell ref="C18:D18"/>
    <mergeCell ref="C5:D5"/>
    <mergeCell ref="C23:D23"/>
    <mergeCell ref="C15:D15"/>
    <mergeCell ref="C7:D7"/>
    <mergeCell ref="C20:D20"/>
    <mergeCell ref="C6:D6"/>
    <mergeCell ref="C17:D17"/>
    <mergeCell ref="C8:D8"/>
    <mergeCell ref="C16:D16"/>
    <mergeCell ref="C22:D22"/>
    <mergeCell ref="C35:D35"/>
    <mergeCell ref="C33:D33"/>
    <mergeCell ref="C34:D34"/>
    <mergeCell ref="A41:B70"/>
    <mergeCell ref="A40:E40"/>
    <mergeCell ref="C38:D38"/>
    <mergeCell ref="C39:D39"/>
    <mergeCell ref="C41:D41"/>
    <mergeCell ref="C65:D65"/>
    <mergeCell ref="C37:D37"/>
    <mergeCell ref="C60:D60"/>
    <mergeCell ref="A27:E27"/>
    <mergeCell ref="C24:D24"/>
    <mergeCell ref="C71:E71"/>
    <mergeCell ref="C63:D63"/>
    <mergeCell ref="C64:D64"/>
    <mergeCell ref="C28:D28"/>
    <mergeCell ref="C29:D29"/>
    <mergeCell ref="C30:D30"/>
    <mergeCell ref="C31:D31"/>
    <mergeCell ref="C59:D59"/>
    <mergeCell ref="C44:D44"/>
    <mergeCell ref="C68:D68"/>
    <mergeCell ref="A28:B39"/>
    <mergeCell ref="C32:D32"/>
    <mergeCell ref="A3:E3"/>
    <mergeCell ref="A4:E4"/>
    <mergeCell ref="A5:B24"/>
    <mergeCell ref="A26:E26"/>
    <mergeCell ref="A25:E25"/>
    <mergeCell ref="C19:D19"/>
  </mergeCells>
  <phoneticPr fontId="2" type="noConversion"/>
  <dataValidations count="1">
    <dataValidation allowBlank="1" showErrorMessage="1" errorTitle="IP reconnect is longer than max " error="Individual IP reconenct time is longer than max allowed" sqref="B77" xr:uid="{00000000-0002-0000-0100-000000000000}"/>
  </dataValidations>
  <pageMargins left="0.75" right="0.75" top="1" bottom="1" header="0.5" footer="0.5"/>
  <pageSetup orientation="landscape"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Data!$B$2</xm:f>
          </x14:formula1>
          <xm:sqref>E24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G92"/>
  <sheetViews>
    <sheetView workbookViewId="0">
      <selection activeCell="A2" sqref="A2:G2"/>
    </sheetView>
  </sheetViews>
  <sheetFormatPr defaultColWidth="9.140625" defaultRowHeight="12.75" outlineLevelRow="1"/>
  <cols>
    <col min="1" max="1" width="43.7109375" style="4" customWidth="1"/>
    <col min="2" max="2" width="13.28515625" style="4" customWidth="1"/>
    <col min="3" max="3" width="13.28515625" style="4" bestFit="1" customWidth="1"/>
    <col min="4" max="4" width="13.42578125" style="5" customWidth="1"/>
    <col min="5" max="7" width="13.28515625" style="5" bestFit="1" customWidth="1"/>
    <col min="8" max="16384" width="9.140625" style="5"/>
  </cols>
  <sheetData>
    <row r="1" spans="1:7" ht="89.25" customHeight="1" thickBot="1">
      <c r="A1" s="324" t="s">
        <v>426</v>
      </c>
      <c r="B1" s="465" t="s">
        <v>368</v>
      </c>
      <c r="C1" s="466"/>
      <c r="D1" s="466"/>
      <c r="E1" s="466"/>
      <c r="F1" s="466"/>
      <c r="G1" s="467"/>
    </row>
    <row r="2" spans="1:7" ht="14.1" customHeight="1" thickBot="1">
      <c r="A2" s="468" t="s">
        <v>359</v>
      </c>
      <c r="B2" s="463"/>
      <c r="C2" s="463"/>
      <c r="D2" s="463"/>
      <c r="E2" s="463"/>
      <c r="F2" s="463"/>
      <c r="G2" s="464"/>
    </row>
    <row r="3" spans="1:7" s="6" customFormat="1" ht="14.1" customHeight="1" thickBot="1">
      <c r="A3" s="344" t="s">
        <v>101</v>
      </c>
      <c r="B3" s="345" t="s">
        <v>228</v>
      </c>
      <c r="C3" s="346" t="s">
        <v>229</v>
      </c>
      <c r="D3" s="346" t="s">
        <v>230</v>
      </c>
      <c r="E3" s="346" t="s">
        <v>231</v>
      </c>
      <c r="F3" s="346" t="s">
        <v>232</v>
      </c>
      <c r="G3" s="346" t="s">
        <v>233</v>
      </c>
    </row>
    <row r="4" spans="1:7" ht="14.1" customHeight="1">
      <c r="A4" s="351" t="s">
        <v>60</v>
      </c>
      <c r="B4" s="217" t="s">
        <v>379</v>
      </c>
      <c r="C4" s="216" t="s">
        <v>379</v>
      </c>
      <c r="D4" s="216" t="s">
        <v>379</v>
      </c>
      <c r="E4" s="216" t="s">
        <v>379</v>
      </c>
      <c r="F4" s="216" t="s">
        <v>379</v>
      </c>
      <c r="G4" s="216" t="s">
        <v>379</v>
      </c>
    </row>
    <row r="5" spans="1:7" ht="14.1" customHeight="1">
      <c r="A5" s="351" t="s">
        <v>0</v>
      </c>
      <c r="B5" s="218">
        <v>30</v>
      </c>
      <c r="C5" s="213">
        <v>30</v>
      </c>
      <c r="D5" s="213">
        <v>30</v>
      </c>
      <c r="E5" s="213">
        <v>29</v>
      </c>
      <c r="F5" s="213">
        <v>29</v>
      </c>
      <c r="G5" s="213">
        <v>29</v>
      </c>
    </row>
    <row r="6" spans="1:7" ht="14.1" customHeight="1">
      <c r="A6" s="351" t="s">
        <v>1</v>
      </c>
      <c r="B6" s="218">
        <v>0</v>
      </c>
      <c r="C6" s="213">
        <v>0</v>
      </c>
      <c r="D6" s="213">
        <v>0</v>
      </c>
      <c r="E6" s="213">
        <v>177</v>
      </c>
      <c r="F6" s="213">
        <v>177</v>
      </c>
      <c r="G6" s="213">
        <v>177</v>
      </c>
    </row>
    <row r="7" spans="1:7" ht="14.1" customHeight="1">
      <c r="A7" s="351" t="s">
        <v>3</v>
      </c>
      <c r="B7" s="219">
        <v>0</v>
      </c>
      <c r="C7" s="214">
        <v>0</v>
      </c>
      <c r="D7" s="214">
        <v>0</v>
      </c>
      <c r="E7" s="214">
        <v>4</v>
      </c>
      <c r="F7" s="214">
        <v>4</v>
      </c>
      <c r="G7" s="214">
        <v>4</v>
      </c>
    </row>
    <row r="8" spans="1:7" ht="14.1" customHeight="1">
      <c r="A8" s="351" t="s">
        <v>103</v>
      </c>
      <c r="B8" s="220">
        <v>2E-3</v>
      </c>
      <c r="C8" s="214"/>
      <c r="D8" s="220">
        <v>0</v>
      </c>
      <c r="E8" s="214"/>
      <c r="F8" s="214"/>
      <c r="G8" s="214"/>
    </row>
    <row r="9" spans="1:7" ht="14.1" customHeight="1">
      <c r="A9" s="351" t="s">
        <v>114</v>
      </c>
      <c r="B9" s="220"/>
      <c r="C9" s="214"/>
      <c r="D9" s="214"/>
      <c r="E9" s="214"/>
      <c r="F9" s="214"/>
      <c r="G9" s="214"/>
    </row>
    <row r="10" spans="1:7" ht="41.1" customHeight="1">
      <c r="A10" s="351" t="s">
        <v>104</v>
      </c>
      <c r="B10" s="219">
        <v>0</v>
      </c>
      <c r="C10" s="214">
        <v>0</v>
      </c>
      <c r="D10" s="214">
        <v>0</v>
      </c>
      <c r="E10" s="214">
        <v>0</v>
      </c>
      <c r="F10" s="214">
        <v>0</v>
      </c>
      <c r="G10" s="214">
        <v>0</v>
      </c>
    </row>
    <row r="11" spans="1:7" ht="63.75">
      <c r="A11" s="351" t="s">
        <v>105</v>
      </c>
      <c r="B11" s="219">
        <v>0</v>
      </c>
      <c r="C11" s="214"/>
      <c r="D11" s="214">
        <v>0</v>
      </c>
      <c r="E11" s="214"/>
      <c r="F11" s="214"/>
      <c r="G11" s="214"/>
    </row>
    <row r="12" spans="1:7" ht="14.1" customHeight="1">
      <c r="A12" s="351" t="s">
        <v>61</v>
      </c>
      <c r="B12" s="219">
        <v>0</v>
      </c>
      <c r="C12" s="214"/>
      <c r="D12" s="214">
        <v>0</v>
      </c>
      <c r="E12" s="214"/>
      <c r="F12" s="214"/>
      <c r="G12" s="214"/>
    </row>
    <row r="13" spans="1:7" ht="14.1" customHeight="1">
      <c r="A13" s="351" t="s">
        <v>62</v>
      </c>
      <c r="B13" s="219">
        <v>0</v>
      </c>
      <c r="C13" s="214"/>
      <c r="D13" s="214">
        <v>0</v>
      </c>
      <c r="E13" s="214"/>
      <c r="F13" s="214"/>
      <c r="G13" s="214"/>
    </row>
    <row r="14" spans="1:7" ht="14.1" customHeight="1">
      <c r="A14" s="351" t="s">
        <v>63</v>
      </c>
      <c r="B14" s="219">
        <v>0</v>
      </c>
      <c r="C14" s="214"/>
      <c r="D14" s="214"/>
      <c r="E14" s="214"/>
      <c r="F14" s="214"/>
      <c r="G14" s="214"/>
    </row>
    <row r="15" spans="1:7" ht="14.1" customHeight="1">
      <c r="A15" s="351" t="s">
        <v>64</v>
      </c>
      <c r="B15" s="219"/>
      <c r="C15" s="214"/>
      <c r="D15" s="214"/>
      <c r="E15" s="214"/>
      <c r="F15" s="214"/>
      <c r="G15" s="214"/>
    </row>
    <row r="16" spans="1:7" ht="14.1" customHeight="1">
      <c r="A16" s="351" t="s">
        <v>25</v>
      </c>
      <c r="B16" s="219">
        <v>0</v>
      </c>
      <c r="C16" s="214">
        <v>0</v>
      </c>
      <c r="D16" s="214">
        <v>0</v>
      </c>
      <c r="E16" s="214">
        <v>0</v>
      </c>
      <c r="F16" s="214">
        <v>0</v>
      </c>
      <c r="G16" s="214">
        <v>0</v>
      </c>
    </row>
    <row r="17" spans="1:7" ht="14.1" customHeight="1">
      <c r="A17" s="351" t="s">
        <v>4</v>
      </c>
      <c r="B17" s="219">
        <v>0</v>
      </c>
      <c r="C17" s="214">
        <v>0</v>
      </c>
      <c r="D17" s="214">
        <v>0</v>
      </c>
      <c r="E17" s="214">
        <v>0</v>
      </c>
      <c r="F17" s="214">
        <v>0</v>
      </c>
      <c r="G17" s="214">
        <v>0</v>
      </c>
    </row>
    <row r="18" spans="1:7" ht="14.1" customHeight="1">
      <c r="A18" s="351" t="s">
        <v>81</v>
      </c>
      <c r="B18" s="219"/>
      <c r="C18" s="214"/>
      <c r="D18" s="214"/>
      <c r="E18" s="214"/>
      <c r="F18" s="214"/>
      <c r="G18" s="214"/>
    </row>
    <row r="19" spans="1:7" ht="14.1" customHeight="1">
      <c r="A19" s="351" t="s">
        <v>82</v>
      </c>
      <c r="B19" s="219">
        <v>0</v>
      </c>
      <c r="C19" s="214">
        <v>0</v>
      </c>
      <c r="D19" s="214"/>
      <c r="E19" s="214"/>
      <c r="F19" s="214"/>
      <c r="G19" s="214"/>
    </row>
    <row r="20" spans="1:7" ht="14.1" customHeight="1">
      <c r="A20" s="351" t="s">
        <v>83</v>
      </c>
      <c r="B20" s="219">
        <v>0</v>
      </c>
      <c r="C20" s="214">
        <v>0</v>
      </c>
      <c r="D20" s="214"/>
      <c r="E20" s="214"/>
      <c r="F20" s="214"/>
      <c r="G20" s="214"/>
    </row>
    <row r="21" spans="1:7" ht="14.1" customHeight="1">
      <c r="A21" s="351" t="s">
        <v>84</v>
      </c>
      <c r="B21" s="219">
        <v>0</v>
      </c>
      <c r="C21" s="214">
        <v>0</v>
      </c>
      <c r="D21" s="214">
        <v>0</v>
      </c>
      <c r="E21" s="214"/>
      <c r="F21" s="214"/>
      <c r="G21" s="214"/>
    </row>
    <row r="22" spans="1:7" ht="14.1" customHeight="1">
      <c r="A22" s="351" t="s">
        <v>121</v>
      </c>
      <c r="B22" s="219">
        <v>0</v>
      </c>
      <c r="C22" s="214"/>
      <c r="D22" s="214">
        <v>0</v>
      </c>
      <c r="E22" s="214"/>
      <c r="F22" s="214"/>
      <c r="G22" s="214"/>
    </row>
    <row r="23" spans="1:7" ht="14.1" customHeight="1">
      <c r="A23" s="351" t="s">
        <v>85</v>
      </c>
      <c r="B23" s="219">
        <v>0</v>
      </c>
      <c r="C23" s="214">
        <v>0</v>
      </c>
      <c r="D23" s="214">
        <v>0</v>
      </c>
      <c r="E23" s="214">
        <v>1</v>
      </c>
      <c r="F23" s="214">
        <v>1</v>
      </c>
      <c r="G23" s="214">
        <v>1</v>
      </c>
    </row>
    <row r="24" spans="1:7" ht="14.1" customHeight="1">
      <c r="A24" s="351" t="s">
        <v>122</v>
      </c>
      <c r="B24" s="219">
        <v>0</v>
      </c>
      <c r="C24" s="214">
        <v>0</v>
      </c>
      <c r="D24" s="214">
        <v>0</v>
      </c>
      <c r="E24" s="214"/>
      <c r="F24" s="214"/>
      <c r="G24" s="214"/>
    </row>
    <row r="25" spans="1:7" ht="14.1" customHeight="1">
      <c r="A25" s="351" t="s">
        <v>56</v>
      </c>
      <c r="B25" s="219">
        <v>0</v>
      </c>
      <c r="C25" s="214">
        <v>0</v>
      </c>
      <c r="D25" s="214">
        <v>0</v>
      </c>
      <c r="E25" s="214"/>
      <c r="F25" s="214"/>
      <c r="G25" s="214"/>
    </row>
    <row r="26" spans="1:7" ht="14.1" customHeight="1" thickBot="1">
      <c r="A26" s="351" t="s">
        <v>58</v>
      </c>
      <c r="B26" s="221">
        <v>0.15</v>
      </c>
      <c r="C26" s="215"/>
      <c r="D26" s="221">
        <v>0.15</v>
      </c>
      <c r="E26" s="215"/>
      <c r="F26" s="215"/>
      <c r="G26" s="215"/>
    </row>
    <row r="27" spans="1:7" ht="14.1" customHeight="1" thickBot="1">
      <c r="A27" s="475"/>
      <c r="B27" s="476"/>
      <c r="C27" s="476"/>
      <c r="D27" s="476"/>
      <c r="E27" s="476"/>
      <c r="F27" s="476"/>
      <c r="G27" s="476"/>
    </row>
    <row r="28" spans="1:7" ht="14.45" hidden="1" customHeight="1" outlineLevel="1" thickBot="1">
      <c r="A28" s="469" t="s">
        <v>80</v>
      </c>
      <c r="B28" s="470"/>
      <c r="C28" s="470"/>
      <c r="D28" s="470"/>
      <c r="E28" s="470"/>
      <c r="F28" s="470"/>
      <c r="G28" s="471"/>
    </row>
    <row r="29" spans="1:7" ht="14.1" hidden="1" customHeight="1" outlineLevel="1">
      <c r="A29" s="347" t="s">
        <v>16</v>
      </c>
      <c r="B29" s="136">
        <f t="shared" ref="B29:G29" si="0">INT(MIN(IF(B7&gt;0,MIN(B7,B6/B5),B6/B5),4))</f>
        <v>0</v>
      </c>
      <c r="C29" s="136">
        <f t="shared" si="0"/>
        <v>0</v>
      </c>
      <c r="D29" s="136">
        <f t="shared" si="0"/>
        <v>0</v>
      </c>
      <c r="E29" s="136">
        <f t="shared" si="0"/>
        <v>4</v>
      </c>
      <c r="F29" s="136">
        <f t="shared" si="0"/>
        <v>4</v>
      </c>
      <c r="G29" s="137">
        <f t="shared" si="0"/>
        <v>4</v>
      </c>
    </row>
    <row r="30" spans="1:7" ht="14.1" hidden="1" customHeight="1" outlineLevel="1">
      <c r="A30" s="348" t="s">
        <v>65</v>
      </c>
      <c r="B30" s="132">
        <f t="shared" ref="B30:G30" si="1">IF(B11&gt;0,B11,(B12*20+SUM(B13:B15))*0.9+60*B13*0.06+SUM(B14:B15))</f>
        <v>0</v>
      </c>
      <c r="C30" s="132">
        <f t="shared" si="1"/>
        <v>0</v>
      </c>
      <c r="D30" s="132">
        <f t="shared" si="1"/>
        <v>0</v>
      </c>
      <c r="E30" s="132">
        <f t="shared" si="1"/>
        <v>0</v>
      </c>
      <c r="F30" s="132">
        <f t="shared" si="1"/>
        <v>0</v>
      </c>
      <c r="G30" s="138">
        <f t="shared" si="1"/>
        <v>0</v>
      </c>
    </row>
    <row r="31" spans="1:7" ht="14.1" hidden="1" customHeight="1" outlineLevel="1">
      <c r="A31" s="348" t="s">
        <v>5</v>
      </c>
      <c r="B31" s="130">
        <f t="shared" ref="B31:G31" si="2">IF(B10&gt;0,B10,INT(0.356*B30))</f>
        <v>0</v>
      </c>
      <c r="C31" s="130">
        <f t="shared" si="2"/>
        <v>0</v>
      </c>
      <c r="D31" s="130">
        <f t="shared" si="2"/>
        <v>0</v>
      </c>
      <c r="E31" s="130">
        <f t="shared" si="2"/>
        <v>0</v>
      </c>
      <c r="F31" s="130">
        <f t="shared" si="2"/>
        <v>0</v>
      </c>
      <c r="G31" s="139">
        <f t="shared" si="2"/>
        <v>0</v>
      </c>
    </row>
    <row r="32" spans="1:7" ht="14.1" hidden="1" customHeight="1" outlineLevel="1">
      <c r="A32" s="348" t="s">
        <v>66</v>
      </c>
      <c r="B32" s="130">
        <f t="shared" ref="B32:G32" si="3">CEILING(+B31*(1+B26)^B25,1)</f>
        <v>0</v>
      </c>
      <c r="C32" s="130">
        <f t="shared" si="3"/>
        <v>0</v>
      </c>
      <c r="D32" s="130">
        <f t="shared" si="3"/>
        <v>0</v>
      </c>
      <c r="E32" s="130">
        <f t="shared" si="3"/>
        <v>0</v>
      </c>
      <c r="F32" s="130">
        <f t="shared" si="3"/>
        <v>0</v>
      </c>
      <c r="G32" s="139">
        <f t="shared" si="3"/>
        <v>0</v>
      </c>
    </row>
    <row r="33" spans="1:7" ht="14.1" hidden="1" customHeight="1" outlineLevel="1">
      <c r="A33" s="348" t="s">
        <v>17</v>
      </c>
      <c r="B33" s="130">
        <f>+VLOOKUP(B4,Data!$B$2:$F$3,2)</f>
        <v>140038144</v>
      </c>
      <c r="C33" s="130">
        <f>+VLOOKUP(C4,Data!$B$2:$F$3,2)</f>
        <v>140038144</v>
      </c>
      <c r="D33" s="130">
        <f>+VLOOKUP(D4,Data!$B$2:$F$3,2)</f>
        <v>140038144</v>
      </c>
      <c r="E33" s="130">
        <f>+VLOOKUP(E4,Data!$B$2:$F$3,2)</f>
        <v>140038144</v>
      </c>
      <c r="F33" s="130">
        <f>+VLOOKUP(F4,Data!$B$2:$F$3,2)</f>
        <v>140038144</v>
      </c>
      <c r="G33" s="139">
        <f>+VLOOKUP(G4,Data!$B$2:$F$3,2)</f>
        <v>140038144</v>
      </c>
    </row>
    <row r="34" spans="1:7" ht="14.1" hidden="1" customHeight="1" outlineLevel="1">
      <c r="A34" s="349" t="s">
        <v>192</v>
      </c>
      <c r="B34" s="130">
        <f t="shared" ref="B34:G34" si="4">+(B21+B22+B23)*VLOOKUP(B4,Memory,6)</f>
        <v>0</v>
      </c>
      <c r="C34" s="130">
        <f t="shared" si="4"/>
        <v>0</v>
      </c>
      <c r="D34" s="130">
        <f t="shared" si="4"/>
        <v>0</v>
      </c>
      <c r="E34" s="130">
        <f t="shared" si="4"/>
        <v>5128192</v>
      </c>
      <c r="F34" s="130">
        <f t="shared" si="4"/>
        <v>5128192</v>
      </c>
      <c r="G34" s="139">
        <f t="shared" si="4"/>
        <v>5128192</v>
      </c>
    </row>
    <row r="35" spans="1:7" ht="14.1" hidden="1" customHeight="1" outlineLevel="1">
      <c r="A35" s="348" t="s">
        <v>18</v>
      </c>
      <c r="B35" s="130">
        <f>+B31*VLOOKUP(B4,Data!$B$2:$F$3,4)</f>
        <v>0</v>
      </c>
      <c r="C35" s="130">
        <f>+C31*VLOOKUP(C4,Data!$B$2:$F$3,4)</f>
        <v>0</v>
      </c>
      <c r="D35" s="130">
        <f>+D31*VLOOKUP(D4,Data!$B$2:$F$3,4)</f>
        <v>0</v>
      </c>
      <c r="E35" s="130">
        <f>+E31*VLOOKUP(E4,Data!$B$2:$F$3,4)</f>
        <v>0</v>
      </c>
      <c r="F35" s="130">
        <f>+F31*VLOOKUP(F4,Data!$B$2:$F$3,4)</f>
        <v>0</v>
      </c>
      <c r="G35" s="139">
        <f>+G31*VLOOKUP(G4,Data!$B$2:$F$3,4)</f>
        <v>0</v>
      </c>
    </row>
    <row r="36" spans="1:7" ht="14.1" hidden="1" customHeight="1" outlineLevel="1">
      <c r="A36" s="348" t="s">
        <v>19</v>
      </c>
      <c r="B36" s="130">
        <f>+B17*VLOOKUP(B4,Data!$B$2:$F$3,5)</f>
        <v>0</v>
      </c>
      <c r="C36" s="130">
        <f>+C17*VLOOKUP(C4,Data!$B$2:$F$3,5)</f>
        <v>0</v>
      </c>
      <c r="D36" s="130">
        <f>+D17*VLOOKUP(D4,Data!$B$2:$F$3,5)</f>
        <v>0</v>
      </c>
      <c r="E36" s="130">
        <f>+E17*VLOOKUP(E4,Data!$B$2:$F$3,5)</f>
        <v>0</v>
      </c>
      <c r="F36" s="130">
        <f>+F17*VLOOKUP(F4,Data!$B$2:$F$3,5)</f>
        <v>0</v>
      </c>
      <c r="G36" s="139">
        <f>+G17*VLOOKUP(G4,Data!$B$2:$F$3,5)</f>
        <v>0</v>
      </c>
    </row>
    <row r="37" spans="1:7" ht="14.1" hidden="1" customHeight="1" outlineLevel="1">
      <c r="A37" s="348" t="s">
        <v>20</v>
      </c>
      <c r="B37" s="130">
        <f t="shared" ref="B37:G37" si="5">SUM(B33:B36)</f>
        <v>140038144</v>
      </c>
      <c r="C37" s="130">
        <f t="shared" si="5"/>
        <v>140038144</v>
      </c>
      <c r="D37" s="130">
        <f t="shared" si="5"/>
        <v>140038144</v>
      </c>
      <c r="E37" s="130">
        <f t="shared" si="5"/>
        <v>145166336</v>
      </c>
      <c r="F37" s="130">
        <f t="shared" si="5"/>
        <v>145166336</v>
      </c>
      <c r="G37" s="139">
        <f t="shared" si="5"/>
        <v>145166336</v>
      </c>
    </row>
    <row r="38" spans="1:7" ht="14.1" hidden="1" customHeight="1" outlineLevel="1">
      <c r="A38" s="348" t="s">
        <v>33</v>
      </c>
      <c r="B38" s="133">
        <f t="shared" ref="B38:G38" si="6">VLOOKUP(B4,SpecIntSpeed,2)/B5</f>
        <v>0.96666666666666667</v>
      </c>
      <c r="C38" s="133">
        <f t="shared" si="6"/>
        <v>0.96666666666666667</v>
      </c>
      <c r="D38" s="133">
        <f t="shared" si="6"/>
        <v>0.96666666666666667</v>
      </c>
      <c r="E38" s="133">
        <f t="shared" si="6"/>
        <v>1</v>
      </c>
      <c r="F38" s="133">
        <f t="shared" si="6"/>
        <v>1</v>
      </c>
      <c r="G38" s="140">
        <f t="shared" si="6"/>
        <v>1</v>
      </c>
    </row>
    <row r="39" spans="1:7" ht="14.1" hidden="1" customHeight="1" outlineLevel="1">
      <c r="A39" s="348" t="s">
        <v>44</v>
      </c>
      <c r="B39" s="133"/>
      <c r="C39" s="133"/>
      <c r="D39" s="133"/>
      <c r="E39" s="133"/>
      <c r="F39" s="133"/>
      <c r="G39" s="140"/>
    </row>
    <row r="40" spans="1:7" ht="14.1" hidden="1" customHeight="1" outlineLevel="1">
      <c r="A40" s="348" t="s">
        <v>31</v>
      </c>
      <c r="B40" s="134">
        <f t="shared" ref="B40:G40" si="7">+B38*VLOOKUP(B4,CPUPerDownEvent,6)</f>
        <v>7.8977232826303741E-5</v>
      </c>
      <c r="C40" s="134">
        <f t="shared" si="7"/>
        <v>7.8977232826303741E-5</v>
      </c>
      <c r="D40" s="134">
        <f t="shared" si="7"/>
        <v>7.8977232826303741E-5</v>
      </c>
      <c r="E40" s="134">
        <f t="shared" si="7"/>
        <v>8.1700585682383174E-5</v>
      </c>
      <c r="F40" s="134">
        <f t="shared" si="7"/>
        <v>8.1700585682383174E-5</v>
      </c>
      <c r="G40" s="141">
        <f t="shared" si="7"/>
        <v>8.1700585682383174E-5</v>
      </c>
    </row>
    <row r="41" spans="1:7" ht="14.1" hidden="1" customHeight="1" outlineLevel="1">
      <c r="A41" s="348" t="s">
        <v>28</v>
      </c>
      <c r="B41" s="134">
        <f t="shared" ref="B41:G41" si="8">+B19*B40</f>
        <v>0</v>
      </c>
      <c r="C41" s="134">
        <f t="shared" si="8"/>
        <v>0</v>
      </c>
      <c r="D41" s="134">
        <f t="shared" si="8"/>
        <v>0</v>
      </c>
      <c r="E41" s="134">
        <f t="shared" si="8"/>
        <v>0</v>
      </c>
      <c r="F41" s="134">
        <f t="shared" si="8"/>
        <v>0</v>
      </c>
      <c r="G41" s="141">
        <f t="shared" si="8"/>
        <v>0</v>
      </c>
    </row>
    <row r="42" spans="1:7" ht="14.1" hidden="1" customHeight="1" outlineLevel="1">
      <c r="A42" s="348" t="s">
        <v>29</v>
      </c>
      <c r="B42" s="131">
        <f t="shared" ref="B42:G42" si="9">MIN(B19*VLOOKUP(B4,CPUUtilizationFor1SourceOrDestination,6),VLOOKUP(B4,MaxDownEventCPUUtilizationForSourceOrDestination,6))</f>
        <v>0</v>
      </c>
      <c r="C42" s="131">
        <f t="shared" si="9"/>
        <v>0</v>
      </c>
      <c r="D42" s="131">
        <f t="shared" si="9"/>
        <v>0</v>
      </c>
      <c r="E42" s="131">
        <f t="shared" si="9"/>
        <v>0</v>
      </c>
      <c r="F42" s="131">
        <f t="shared" si="9"/>
        <v>0</v>
      </c>
      <c r="G42" s="142">
        <f t="shared" si="9"/>
        <v>0</v>
      </c>
    </row>
    <row r="43" spans="1:7" ht="14.1" hidden="1" customHeight="1" outlineLevel="1">
      <c r="A43" s="348" t="s">
        <v>30</v>
      </c>
      <c r="B43" s="130">
        <f t="shared" ref="B43:G43" si="10">+B42/B40</f>
        <v>0</v>
      </c>
      <c r="C43" s="130">
        <f t="shared" si="10"/>
        <v>0</v>
      </c>
      <c r="D43" s="130">
        <f t="shared" si="10"/>
        <v>0</v>
      </c>
      <c r="E43" s="130">
        <f t="shared" si="10"/>
        <v>0</v>
      </c>
      <c r="F43" s="130">
        <f t="shared" si="10"/>
        <v>0</v>
      </c>
      <c r="G43" s="139">
        <f t="shared" si="10"/>
        <v>0</v>
      </c>
    </row>
    <row r="44" spans="1:7" ht="14.1" hidden="1" customHeight="1" outlineLevel="1">
      <c r="A44" s="348" t="s">
        <v>32</v>
      </c>
      <c r="B44" s="130">
        <f t="shared" ref="B44:G44" si="11">IF(B19&gt;0,B43/B19,0)</f>
        <v>0</v>
      </c>
      <c r="C44" s="130">
        <f t="shared" si="11"/>
        <v>0</v>
      </c>
      <c r="D44" s="130">
        <f t="shared" si="11"/>
        <v>0</v>
      </c>
      <c r="E44" s="130">
        <f t="shared" si="11"/>
        <v>0</v>
      </c>
      <c r="F44" s="130">
        <f t="shared" si="11"/>
        <v>0</v>
      </c>
      <c r="G44" s="139">
        <f t="shared" si="11"/>
        <v>0</v>
      </c>
    </row>
    <row r="45" spans="1:7" ht="14.1" hidden="1" customHeight="1" outlineLevel="1">
      <c r="A45" s="348" t="s">
        <v>45</v>
      </c>
      <c r="B45" s="130"/>
      <c r="C45" s="130"/>
      <c r="D45" s="130"/>
      <c r="E45" s="130"/>
      <c r="F45" s="130"/>
      <c r="G45" s="139"/>
    </row>
    <row r="46" spans="1:7" ht="14.1" hidden="1" customHeight="1" outlineLevel="1">
      <c r="A46" s="349" t="s">
        <v>88</v>
      </c>
      <c r="B46" s="134">
        <f t="shared" ref="B46:G46" si="12">+B38*VLOOKUP(B4,CPUPerDownEvent,4)</f>
        <v>3.9957021868284662E-3</v>
      </c>
      <c r="C46" s="134">
        <f t="shared" si="12"/>
        <v>3.9957021868284662E-3</v>
      </c>
      <c r="D46" s="134">
        <f t="shared" si="12"/>
        <v>3.9957021868284662E-3</v>
      </c>
      <c r="E46" s="134">
        <f t="shared" si="12"/>
        <v>4.1334850208570341E-3</v>
      </c>
      <c r="F46" s="134">
        <f t="shared" si="12"/>
        <v>4.1334850208570341E-3</v>
      </c>
      <c r="G46" s="141">
        <f t="shared" si="12"/>
        <v>4.1334850208570341E-3</v>
      </c>
    </row>
    <row r="47" spans="1:7" ht="14.1" hidden="1" customHeight="1" outlineLevel="1">
      <c r="A47" s="349" t="s">
        <v>86</v>
      </c>
      <c r="B47" s="134">
        <f t="shared" ref="B47:G47" si="13">+B38*VLOOKUP(B4,ExtraCPUPerDownEventFor1SourceOrDestination,4)</f>
        <v>1.4296549108835802E-3</v>
      </c>
      <c r="C47" s="134">
        <f t="shared" si="13"/>
        <v>1.4296549108835802E-3</v>
      </c>
      <c r="D47" s="134">
        <f t="shared" si="13"/>
        <v>1.4296549108835802E-3</v>
      </c>
      <c r="E47" s="134">
        <f t="shared" si="13"/>
        <v>1.4789533560864623E-3</v>
      </c>
      <c r="F47" s="134">
        <f t="shared" si="13"/>
        <v>1.4789533560864623E-3</v>
      </c>
      <c r="G47" s="141">
        <f t="shared" si="13"/>
        <v>1.4789533560864623E-3</v>
      </c>
    </row>
    <row r="48" spans="1:7" ht="14.1" hidden="1" customHeight="1" outlineLevel="1">
      <c r="A48" s="349" t="s">
        <v>87</v>
      </c>
      <c r="B48" s="134">
        <f t="shared" ref="B48:G48" si="14">+B46+B47*(B21-1)</f>
        <v>2.566047275944886E-3</v>
      </c>
      <c r="C48" s="134">
        <f t="shared" si="14"/>
        <v>2.566047275944886E-3</v>
      </c>
      <c r="D48" s="134">
        <f t="shared" si="14"/>
        <v>2.566047275944886E-3</v>
      </c>
      <c r="E48" s="134">
        <f t="shared" si="14"/>
        <v>2.6545316647705718E-3</v>
      </c>
      <c r="F48" s="134">
        <f t="shared" si="14"/>
        <v>2.6545316647705718E-3</v>
      </c>
      <c r="G48" s="141">
        <f t="shared" si="14"/>
        <v>2.6545316647705718E-3</v>
      </c>
    </row>
    <row r="49" spans="1:7" ht="14.1" hidden="1" customHeight="1" outlineLevel="1">
      <c r="A49" s="349" t="s">
        <v>89</v>
      </c>
      <c r="B49" s="131">
        <f>IF(B21&gt;=1,IF(B21&lt;Data!$E$18,+Data!$E$12+((B21-1)/Data!$E$18)*(Data!$E$16-Data!$E$12),Data!$E$16),0)</f>
        <v>0</v>
      </c>
      <c r="C49" s="131">
        <f>IF(C21&gt;=1,IF(C21&lt;Data!$E$18,+Data!$E$12+((C21-1)/Data!$E$18)*(Data!$E$16-Data!$E$12),Data!$E$16),0)</f>
        <v>0</v>
      </c>
      <c r="D49" s="131">
        <f>IF(D21&gt;=1,IF(D21&lt;Data!$E$18,+Data!$E$12+((D21-1)/Data!$E$18)*(Data!$E$16-Data!$E$12),Data!$E$16),0)</f>
        <v>0</v>
      </c>
      <c r="E49" s="131">
        <f>IF(E21&gt;=1,IF(E21&lt;Data!$E$18,+Data!$E$12+((E21-1)/Data!$E$18)*(Data!$E$16-Data!$E$12),Data!$E$16),0)</f>
        <v>0</v>
      </c>
      <c r="F49" s="131">
        <f>IF(F21&gt;=1,IF(F21&lt;Data!$E$18,+Data!$E$12+((F21-1)/Data!$E$18)*(Data!$E$16-Data!$E$12),Data!$E$16),0)</f>
        <v>0</v>
      </c>
      <c r="G49" s="142">
        <f>IF(G21&gt;=1,IF(G21&lt;Data!$E$18,+Data!$E$12+((G21-1)/Data!$E$18)*(Data!$E$16-Data!$E$12),Data!$E$16),0)</f>
        <v>0</v>
      </c>
    </row>
    <row r="50" spans="1:7" ht="14.1" hidden="1" customHeight="1" outlineLevel="1">
      <c r="A50" s="349" t="s">
        <v>90</v>
      </c>
      <c r="B50" s="130">
        <f t="shared" ref="B50:G50" si="15">+B49/B48</f>
        <v>0</v>
      </c>
      <c r="C50" s="130">
        <f t="shared" si="15"/>
        <v>0</v>
      </c>
      <c r="D50" s="130">
        <f t="shared" si="15"/>
        <v>0</v>
      </c>
      <c r="E50" s="130">
        <f t="shared" si="15"/>
        <v>0</v>
      </c>
      <c r="F50" s="130">
        <f t="shared" si="15"/>
        <v>0</v>
      </c>
      <c r="G50" s="139">
        <f t="shared" si="15"/>
        <v>0</v>
      </c>
    </row>
    <row r="51" spans="1:7" ht="14.1" hidden="1" customHeight="1" outlineLevel="1">
      <c r="A51" s="348" t="s">
        <v>46</v>
      </c>
      <c r="B51" s="130"/>
      <c r="C51" s="130"/>
      <c r="D51" s="130"/>
      <c r="E51" s="130"/>
      <c r="F51" s="130"/>
      <c r="G51" s="139"/>
    </row>
    <row r="52" spans="1:7" ht="14.1" hidden="1" customHeight="1" outlineLevel="1">
      <c r="A52" s="349" t="s">
        <v>91</v>
      </c>
      <c r="B52" s="134">
        <f t="shared" ref="B52:G52" si="16">+B38*VLOOKUP(B4,CPUPerDownEvent,2)</f>
        <v>1.305018328909114E-2</v>
      </c>
      <c r="C52" s="134">
        <f t="shared" si="16"/>
        <v>1.305018328909114E-2</v>
      </c>
      <c r="D52" s="134">
        <f t="shared" si="16"/>
        <v>1.305018328909114E-2</v>
      </c>
      <c r="E52" s="134">
        <f t="shared" si="16"/>
        <v>1.3500189609404627E-2</v>
      </c>
      <c r="F52" s="134">
        <f t="shared" si="16"/>
        <v>1.3500189609404627E-2</v>
      </c>
      <c r="G52" s="141">
        <f t="shared" si="16"/>
        <v>1.3500189609404627E-2</v>
      </c>
    </row>
    <row r="53" spans="1:7" ht="14.1" hidden="1" customHeight="1" outlineLevel="1">
      <c r="A53" s="349" t="s">
        <v>92</v>
      </c>
      <c r="B53" s="134">
        <f t="shared" ref="B53:G53" si="17">+B38*VLOOKUP(B4,ExtraCPUPerDownEventFor1SourceOrDestination,2)</f>
        <v>1.6496018202502856E-3</v>
      </c>
      <c r="C53" s="134">
        <f t="shared" si="17"/>
        <v>1.6496018202502856E-3</v>
      </c>
      <c r="D53" s="134">
        <f t="shared" si="17"/>
        <v>1.6496018202502856E-3</v>
      </c>
      <c r="E53" s="134">
        <f t="shared" si="17"/>
        <v>1.7064846416382264E-3</v>
      </c>
      <c r="F53" s="134">
        <f t="shared" si="17"/>
        <v>1.7064846416382264E-3</v>
      </c>
      <c r="G53" s="141">
        <f t="shared" si="17"/>
        <v>1.7064846416382264E-3</v>
      </c>
    </row>
    <row r="54" spans="1:7" ht="14.1" hidden="1" customHeight="1" outlineLevel="1">
      <c r="A54" s="349" t="s">
        <v>93</v>
      </c>
      <c r="B54" s="134">
        <f>MIN(SUM(B52:B53),B38*Data!$C$14)</f>
        <v>3.5191505498672732E-3</v>
      </c>
      <c r="C54" s="134">
        <f>MIN(SUM(C52:C53),C38*Data!$C$14)</f>
        <v>3.5191505498672732E-3</v>
      </c>
      <c r="D54" s="134">
        <f>MIN(SUM(D52:D53),D38*Data!$C$14)</f>
        <v>3.5191505498672732E-3</v>
      </c>
      <c r="E54" s="134">
        <f>MIN(SUM(E52:E53),E38*Data!$C$14)</f>
        <v>3.6405005688282138E-3</v>
      </c>
      <c r="F54" s="134">
        <f>MIN(SUM(F52:F53),F38*Data!$C$14)</f>
        <v>3.6405005688282138E-3</v>
      </c>
      <c r="G54" s="141">
        <f>MIN(SUM(G52:G53),G38*Data!$C$14)</f>
        <v>3.6405005688282138E-3</v>
      </c>
    </row>
    <row r="55" spans="1:7" ht="14.1" hidden="1" customHeight="1" outlineLevel="1">
      <c r="A55" s="349" t="s">
        <v>94</v>
      </c>
      <c r="B55" s="131">
        <f t="shared" ref="B55:G55" si="18">IF(B23&gt;=1,IF(B23&lt;VLOOKUP(B4,NSourceOrDestinationAtMaxDownEventUtilization,2),+VLOOKUP(B4,CPUUtilizationFor1SourceOrDestination,2)+((B23-1)/VLOOKUP(B4,NSourceOrDestinationAtMaxDownEventUtilization,2))*(VLOOKUP(B4,MaxDownEventCPUUtilizationForSourceOrDestination,2)-VLOOKUP(B4,CPUUtilizationFor1SourceOrDestination,2)),VLOOKUP(B4,MaxDownEventCPUUtilizationForSourceOrDestination,2)),0)</f>
        <v>0</v>
      </c>
      <c r="C55" s="131">
        <f t="shared" si="18"/>
        <v>0</v>
      </c>
      <c r="D55" s="131">
        <f t="shared" si="18"/>
        <v>0</v>
      </c>
      <c r="E55" s="131">
        <f t="shared" si="18"/>
        <v>1.1000000000000001</v>
      </c>
      <c r="F55" s="131">
        <f t="shared" si="18"/>
        <v>1.1000000000000001</v>
      </c>
      <c r="G55" s="142">
        <f t="shared" si="18"/>
        <v>1.1000000000000001</v>
      </c>
    </row>
    <row r="56" spans="1:7" ht="14.1" hidden="1" customHeight="1" outlineLevel="1">
      <c r="A56" s="349" t="s">
        <v>107</v>
      </c>
      <c r="B56" s="130">
        <f t="shared" ref="B56:G56" si="19">+B55/B54</f>
        <v>0</v>
      </c>
      <c r="C56" s="130">
        <f t="shared" si="19"/>
        <v>0</v>
      </c>
      <c r="D56" s="130">
        <f t="shared" si="19"/>
        <v>0</v>
      </c>
      <c r="E56" s="130">
        <f t="shared" si="19"/>
        <v>302.15625000000006</v>
      </c>
      <c r="F56" s="130">
        <f t="shared" si="19"/>
        <v>302.15625000000006</v>
      </c>
      <c r="G56" s="139">
        <f t="shared" si="19"/>
        <v>302.15625000000006</v>
      </c>
    </row>
    <row r="57" spans="1:7" ht="14.1" hidden="1" customHeight="1" outlineLevel="1">
      <c r="A57" s="349" t="s">
        <v>108</v>
      </c>
      <c r="B57" s="130">
        <f t="shared" ref="B57:G57" si="20">IF(B8*AttributesPerIPNotification&gt;0,B23/(B8*AttributesPerIPNotification),0)</f>
        <v>0</v>
      </c>
      <c r="C57" s="130">
        <f t="shared" si="20"/>
        <v>0</v>
      </c>
      <c r="D57" s="130">
        <f t="shared" si="20"/>
        <v>0</v>
      </c>
      <c r="E57" s="130">
        <f t="shared" si="20"/>
        <v>0</v>
      </c>
      <c r="F57" s="130">
        <f t="shared" si="20"/>
        <v>0</v>
      </c>
      <c r="G57" s="139">
        <f t="shared" si="20"/>
        <v>0</v>
      </c>
    </row>
    <row r="58" spans="1:7" ht="14.1" hidden="1" customHeight="1" outlineLevel="1">
      <c r="A58" s="349" t="s">
        <v>95</v>
      </c>
      <c r="B58" s="130">
        <f t="shared" ref="B58:G58" si="21">MIN(B56:B57)</f>
        <v>0</v>
      </c>
      <c r="C58" s="130">
        <f t="shared" si="21"/>
        <v>0</v>
      </c>
      <c r="D58" s="130">
        <f t="shared" si="21"/>
        <v>0</v>
      </c>
      <c r="E58" s="130">
        <f t="shared" si="21"/>
        <v>0</v>
      </c>
      <c r="F58" s="130">
        <f t="shared" si="21"/>
        <v>0</v>
      </c>
      <c r="G58" s="139">
        <f t="shared" si="21"/>
        <v>0</v>
      </c>
    </row>
    <row r="59" spans="1:7" ht="14.1" hidden="1" customHeight="1" outlineLevel="1">
      <c r="A59" s="349" t="s">
        <v>102</v>
      </c>
      <c r="B59" s="130"/>
      <c r="C59" s="130"/>
      <c r="D59" s="130"/>
      <c r="E59" s="130"/>
      <c r="F59" s="130"/>
      <c r="G59" s="139"/>
    </row>
    <row r="60" spans="1:7" ht="14.1" hidden="1" customHeight="1" outlineLevel="1">
      <c r="A60" s="349" t="s">
        <v>96</v>
      </c>
      <c r="B60" s="130"/>
      <c r="C60" s="130"/>
      <c r="D60" s="130"/>
      <c r="E60" s="130"/>
      <c r="F60" s="130"/>
      <c r="G60" s="139"/>
    </row>
    <row r="61" spans="1:7" ht="14.1" hidden="1" customHeight="1" outlineLevel="1">
      <c r="A61" s="349" t="s">
        <v>97</v>
      </c>
      <c r="B61" s="130"/>
      <c r="C61" s="130"/>
      <c r="D61" s="130"/>
      <c r="E61" s="130"/>
      <c r="F61" s="130"/>
      <c r="G61" s="139"/>
    </row>
    <row r="62" spans="1:7" ht="14.1" hidden="1" customHeight="1" outlineLevel="1">
      <c r="A62" s="349" t="s">
        <v>98</v>
      </c>
      <c r="B62" s="130"/>
      <c r="C62" s="130"/>
      <c r="D62" s="130"/>
      <c r="E62" s="130"/>
      <c r="F62" s="130"/>
      <c r="G62" s="139"/>
    </row>
    <row r="63" spans="1:7" ht="14.1" hidden="1" customHeight="1" outlineLevel="1">
      <c r="A63" s="349" t="s">
        <v>99</v>
      </c>
      <c r="B63" s="130"/>
      <c r="C63" s="130"/>
      <c r="D63" s="130"/>
      <c r="E63" s="130"/>
      <c r="F63" s="130"/>
      <c r="G63" s="139"/>
    </row>
    <row r="64" spans="1:7" ht="14.1" hidden="1" customHeight="1" outlineLevel="1">
      <c r="A64" s="349" t="s">
        <v>100</v>
      </c>
      <c r="B64" s="130"/>
      <c r="C64" s="130"/>
      <c r="D64" s="130"/>
      <c r="E64" s="130"/>
      <c r="F64" s="130"/>
      <c r="G64" s="139"/>
    </row>
    <row r="65" spans="1:7" ht="14.1" hidden="1" customHeight="1" outlineLevel="1">
      <c r="A65" s="349" t="s">
        <v>109</v>
      </c>
      <c r="B65" s="130">
        <f t="shared" ref="B65:G65" si="22">MIN(IF(B44&gt;0,B44,999999999),IF(B50&gt;0,B50,999999999),IF(B56&gt;0,B56,999999999))</f>
        <v>999999999</v>
      </c>
      <c r="C65" s="130">
        <f t="shared" si="22"/>
        <v>999999999</v>
      </c>
      <c r="D65" s="130">
        <f t="shared" si="22"/>
        <v>999999999</v>
      </c>
      <c r="E65" s="130">
        <f t="shared" si="22"/>
        <v>302.15625000000006</v>
      </c>
      <c r="F65" s="130">
        <f t="shared" si="22"/>
        <v>302.15625000000006</v>
      </c>
      <c r="G65" s="139">
        <f t="shared" si="22"/>
        <v>302.15625000000006</v>
      </c>
    </row>
    <row r="66" spans="1:7" ht="14.1" hidden="1" customHeight="1" outlineLevel="1">
      <c r="A66" s="349" t="s">
        <v>110</v>
      </c>
      <c r="B66" s="130">
        <f t="shared" ref="B66:G66" si="23">IF(B65&lt;999999999,B65,0)</f>
        <v>0</v>
      </c>
      <c r="C66" s="130">
        <f t="shared" si="23"/>
        <v>0</v>
      </c>
      <c r="D66" s="130">
        <f t="shared" si="23"/>
        <v>0</v>
      </c>
      <c r="E66" s="130">
        <f t="shared" si="23"/>
        <v>302.15625000000006</v>
      </c>
      <c r="F66" s="130">
        <f t="shared" si="23"/>
        <v>302.15625000000006</v>
      </c>
      <c r="G66" s="139">
        <f t="shared" si="23"/>
        <v>302.15625000000006</v>
      </c>
    </row>
    <row r="67" spans="1:7" ht="14.1" hidden="1" customHeight="1" outlineLevel="1">
      <c r="A67" s="348" t="s">
        <v>48</v>
      </c>
      <c r="B67" s="131">
        <f t="shared" ref="B67:G67" si="24">+B66*(B54+B48+B41)</f>
        <v>0</v>
      </c>
      <c r="C67" s="131">
        <f t="shared" si="24"/>
        <v>0</v>
      </c>
      <c r="D67" s="131">
        <f t="shared" si="24"/>
        <v>0</v>
      </c>
      <c r="E67" s="131">
        <f t="shared" si="24"/>
        <v>1.9020833333333333</v>
      </c>
      <c r="F67" s="131">
        <f t="shared" si="24"/>
        <v>1.9020833333333333</v>
      </c>
      <c r="G67" s="142">
        <f t="shared" si="24"/>
        <v>1.9020833333333333</v>
      </c>
    </row>
    <row r="68" spans="1:7" ht="14.1" hidden="1" customHeight="1" outlineLevel="1">
      <c r="A68" s="348" t="s">
        <v>49</v>
      </c>
      <c r="B68" s="131">
        <f t="shared" ref="B68:G68" si="25">MIN(B29,B67)</f>
        <v>0</v>
      </c>
      <c r="C68" s="131">
        <f t="shared" si="25"/>
        <v>0</v>
      </c>
      <c r="D68" s="131">
        <f t="shared" si="25"/>
        <v>0</v>
      </c>
      <c r="E68" s="131">
        <f t="shared" si="25"/>
        <v>1.9020833333333333</v>
      </c>
      <c r="F68" s="131">
        <f t="shared" si="25"/>
        <v>1.9020833333333333</v>
      </c>
      <c r="G68" s="142">
        <f t="shared" si="25"/>
        <v>1.9020833333333333</v>
      </c>
    </row>
    <row r="69" spans="1:7" ht="14.1" hidden="1" customHeight="1" outlineLevel="1">
      <c r="A69" s="348" t="s">
        <v>50</v>
      </c>
      <c r="B69" s="130">
        <f t="shared" ref="B69:G69" si="26">IF(B67&gt;0,(B68/B67)*B66,0)</f>
        <v>0</v>
      </c>
      <c r="C69" s="130">
        <f t="shared" si="26"/>
        <v>0</v>
      </c>
      <c r="D69" s="130">
        <f t="shared" si="26"/>
        <v>0</v>
      </c>
      <c r="E69" s="130">
        <f t="shared" si="26"/>
        <v>302.15625000000006</v>
      </c>
      <c r="F69" s="130">
        <f t="shared" si="26"/>
        <v>302.15625000000006</v>
      </c>
      <c r="G69" s="139">
        <f t="shared" si="26"/>
        <v>302.15625000000006</v>
      </c>
    </row>
    <row r="70" spans="1:7" ht="14.1" hidden="1" customHeight="1" outlineLevel="1">
      <c r="A70" s="349" t="s">
        <v>113</v>
      </c>
      <c r="B70" s="130">
        <f t="shared" ref="B70:G70" si="27">IF(B57&gt;0,MIN(B69,B57),B69)</f>
        <v>0</v>
      </c>
      <c r="C70" s="130">
        <f t="shared" si="27"/>
        <v>0</v>
      </c>
      <c r="D70" s="130">
        <f t="shared" si="27"/>
        <v>0</v>
      </c>
      <c r="E70" s="130">
        <f t="shared" si="27"/>
        <v>302.15625000000006</v>
      </c>
      <c r="F70" s="130">
        <f t="shared" si="27"/>
        <v>302.15625000000006</v>
      </c>
      <c r="G70" s="139">
        <f t="shared" si="27"/>
        <v>302.15625000000006</v>
      </c>
    </row>
    <row r="71" spans="1:7" ht="14.1" hidden="1" customHeight="1" outlineLevel="1">
      <c r="A71" s="349" t="s">
        <v>111</v>
      </c>
      <c r="B71" s="131">
        <f t="shared" ref="B71:G71" si="28">+B70*(B54+B48+B41)</f>
        <v>0</v>
      </c>
      <c r="C71" s="131">
        <f t="shared" si="28"/>
        <v>0</v>
      </c>
      <c r="D71" s="131">
        <f t="shared" si="28"/>
        <v>0</v>
      </c>
      <c r="E71" s="131">
        <f t="shared" si="28"/>
        <v>1.9020833333333333</v>
      </c>
      <c r="F71" s="131">
        <f t="shared" si="28"/>
        <v>1.9020833333333333</v>
      </c>
      <c r="G71" s="142">
        <f t="shared" si="28"/>
        <v>1.9020833333333333</v>
      </c>
    </row>
    <row r="72" spans="1:7" ht="14.1" hidden="1" customHeight="1" outlineLevel="1">
      <c r="A72" s="349" t="s">
        <v>197</v>
      </c>
      <c r="B72" s="135">
        <f>+B$38*IF(B$22&gt;0,VLOOKUP(B$4,CpuPerDownTrap,3),0)</f>
        <v>0</v>
      </c>
      <c r="C72" s="135">
        <f>IF(C$22&gt;0,VLOOKUP(C$4,CpuPerDownTrap,3),0)</f>
        <v>0</v>
      </c>
      <c r="D72" s="135">
        <f>IF(D$22&gt;0,VLOOKUP(D$4,CpuPerDownTrap,3),0)</f>
        <v>0</v>
      </c>
      <c r="E72" s="135">
        <f>IF(E$22&gt;0,VLOOKUP(E$4,CpuPerDownTrap,3),0)</f>
        <v>0</v>
      </c>
      <c r="F72" s="135">
        <f>IF(F$22&gt;0,VLOOKUP(F$4,CpuPerDownTrap,3),0)</f>
        <v>0</v>
      </c>
      <c r="G72" s="143">
        <f>IF(G$22&gt;0,VLOOKUP(G$4,CpuPerDownTrap,3),0)</f>
        <v>0</v>
      </c>
    </row>
    <row r="73" spans="1:7" ht="14.1" hidden="1" customHeight="1" outlineLevel="1">
      <c r="A73" s="349" t="s">
        <v>198</v>
      </c>
      <c r="B73" s="135">
        <f>+B$38*IF(B$21&gt;0,VLOOKUP(B$4,CpuPerDownTrap,4),0)</f>
        <v>0</v>
      </c>
      <c r="C73" s="135">
        <f>IF(C$21&gt;0,VLOOKUP(C$4,CpuPerDownTrap,4),0)</f>
        <v>0</v>
      </c>
      <c r="D73" s="135">
        <f>IF(D$21&gt;0,VLOOKUP(D$4,CpuPerDownTrap,4),0)</f>
        <v>0</v>
      </c>
      <c r="E73" s="135">
        <f>IF(E$21&gt;0,VLOOKUP(E$4,CpuPerDownTrap,4),0)</f>
        <v>0</v>
      </c>
      <c r="F73" s="135">
        <f>IF(F$21&gt;0,VLOOKUP(F$4,CpuPerDownTrap,4),0)</f>
        <v>0</v>
      </c>
      <c r="G73" s="143">
        <f>IF(G$21&gt;0,VLOOKUP(G$4,CpuPerDownTrap,4),0)</f>
        <v>0</v>
      </c>
    </row>
    <row r="74" spans="1:7" ht="14.1" hidden="1" customHeight="1" outlineLevel="1">
      <c r="A74" s="349" t="s">
        <v>199</v>
      </c>
      <c r="B74" s="135">
        <f>+B$38*IF(B$19&gt;0,VLOOKUP(B$4,CpuPerDownTrap,6),0)</f>
        <v>0</v>
      </c>
      <c r="C74" s="135">
        <f>IF(C$19&gt;0,VLOOKUP(C$4,CpuPerDownTrap,6),0)</f>
        <v>0</v>
      </c>
      <c r="D74" s="135">
        <f>IF(D$19&gt;0,VLOOKUP(D$4,CpuPerDownTrap,6),0)</f>
        <v>0</v>
      </c>
      <c r="E74" s="135">
        <f>IF(E$19&gt;0,VLOOKUP(E$4,CpuPerDownTrap,6),0)</f>
        <v>0</v>
      </c>
      <c r="F74" s="135">
        <f>IF(F$19&gt;0,VLOOKUP(F$4,CpuPerDownTrap,6),0)</f>
        <v>0</v>
      </c>
      <c r="G74" s="143">
        <f>IF(G$19&gt;0,VLOOKUP(G$4,CpuPerDownTrap,6),0)</f>
        <v>0</v>
      </c>
    </row>
    <row r="75" spans="1:7" ht="14.1" hidden="1" customHeight="1" outlineLevel="1">
      <c r="A75" s="349" t="s">
        <v>124</v>
      </c>
      <c r="B75" s="135">
        <f t="shared" ref="B75:G75" si="29">SUM(B72:B74)</f>
        <v>0</v>
      </c>
      <c r="C75" s="135">
        <f t="shared" si="29"/>
        <v>0</v>
      </c>
      <c r="D75" s="135">
        <f t="shared" si="29"/>
        <v>0</v>
      </c>
      <c r="E75" s="135">
        <f t="shared" si="29"/>
        <v>0</v>
      </c>
      <c r="F75" s="135">
        <f t="shared" si="29"/>
        <v>0</v>
      </c>
      <c r="G75" s="143">
        <f t="shared" si="29"/>
        <v>0</v>
      </c>
    </row>
    <row r="76" spans="1:7" ht="14.1" hidden="1" customHeight="1" outlineLevel="1">
      <c r="A76" s="349" t="s">
        <v>125</v>
      </c>
      <c r="B76" s="130">
        <f t="shared" ref="B76:G76" si="30">+B21+B22</f>
        <v>0</v>
      </c>
      <c r="C76" s="130">
        <f t="shared" si="30"/>
        <v>0</v>
      </c>
      <c r="D76" s="130">
        <f t="shared" si="30"/>
        <v>0</v>
      </c>
      <c r="E76" s="130">
        <f t="shared" si="30"/>
        <v>0</v>
      </c>
      <c r="F76" s="130">
        <f t="shared" si="30"/>
        <v>0</v>
      </c>
      <c r="G76" s="139">
        <f t="shared" si="30"/>
        <v>0</v>
      </c>
    </row>
    <row r="77" spans="1:7" ht="14.1" hidden="1" customHeight="1" outlineLevel="1">
      <c r="A77" s="349" t="s">
        <v>126</v>
      </c>
      <c r="B77" s="131">
        <f t="shared" ref="B77:G77" si="31">IF(B76=1,VLOOKUP(B4,MaxCPUUtilizationFor1OI,2),VLOOKUP(B4,MaxCPUUtilizationForDownTraps,2))</f>
        <v>2</v>
      </c>
      <c r="C77" s="131">
        <f t="shared" si="31"/>
        <v>2</v>
      </c>
      <c r="D77" s="131">
        <f t="shared" si="31"/>
        <v>2</v>
      </c>
      <c r="E77" s="131">
        <f t="shared" si="31"/>
        <v>2</v>
      </c>
      <c r="F77" s="131">
        <f t="shared" si="31"/>
        <v>2</v>
      </c>
      <c r="G77" s="142">
        <f t="shared" si="31"/>
        <v>2</v>
      </c>
    </row>
    <row r="78" spans="1:7" ht="14.1" hidden="1" customHeight="1" outlineLevel="1" thickBot="1">
      <c r="A78" s="350" t="s">
        <v>127</v>
      </c>
      <c r="B78" s="144">
        <f t="shared" ref="B78:G78" si="32">IF(B75&gt;0,B77/B75,0)</f>
        <v>0</v>
      </c>
      <c r="C78" s="144">
        <f t="shared" si="32"/>
        <v>0</v>
      </c>
      <c r="D78" s="144">
        <f t="shared" si="32"/>
        <v>0</v>
      </c>
      <c r="E78" s="144">
        <f t="shared" si="32"/>
        <v>0</v>
      </c>
      <c r="F78" s="144">
        <f t="shared" si="32"/>
        <v>0</v>
      </c>
      <c r="G78" s="145">
        <f t="shared" si="32"/>
        <v>0</v>
      </c>
    </row>
    <row r="79" spans="1:7" ht="14.1" hidden="1" customHeight="1" outlineLevel="1" thickBot="1">
      <c r="A79" s="477"/>
      <c r="B79" s="478"/>
      <c r="C79" s="478"/>
      <c r="D79" s="478"/>
      <c r="E79" s="478"/>
      <c r="F79" s="478"/>
      <c r="G79" s="479"/>
    </row>
    <row r="80" spans="1:7" ht="14.1" customHeight="1" collapsed="1" thickBot="1">
      <c r="A80" s="472" t="s">
        <v>308</v>
      </c>
      <c r="B80" s="473"/>
      <c r="C80" s="473"/>
      <c r="D80" s="473"/>
      <c r="E80" s="473"/>
      <c r="F80" s="473"/>
      <c r="G80" s="474"/>
    </row>
    <row r="81" spans="1:7" ht="14.1" customHeight="1">
      <c r="A81" s="325" t="s">
        <v>112</v>
      </c>
      <c r="B81" s="151">
        <f t="shared" ref="B81:G81" si="33">+B37/(1024*1024)</f>
        <v>133.55078125</v>
      </c>
      <c r="C81" s="147">
        <f t="shared" si="33"/>
        <v>133.55078125</v>
      </c>
      <c r="D81" s="147">
        <f t="shared" si="33"/>
        <v>133.55078125</v>
      </c>
      <c r="E81" s="147">
        <f t="shared" si="33"/>
        <v>138.44140625</v>
      </c>
      <c r="F81" s="147">
        <f t="shared" si="33"/>
        <v>138.44140625</v>
      </c>
      <c r="G81" s="148">
        <f t="shared" si="33"/>
        <v>138.44140625</v>
      </c>
    </row>
    <row r="82" spans="1:7" ht="14.1" customHeight="1">
      <c r="A82" s="326" t="s">
        <v>8</v>
      </c>
      <c r="B82" s="152">
        <f t="shared" ref="B82:G82" si="34">+B69</f>
        <v>0</v>
      </c>
      <c r="C82" s="130">
        <f t="shared" si="34"/>
        <v>0</v>
      </c>
      <c r="D82" s="130">
        <f t="shared" si="34"/>
        <v>0</v>
      </c>
      <c r="E82" s="130">
        <f t="shared" si="34"/>
        <v>302.15625000000006</v>
      </c>
      <c r="F82" s="130">
        <f t="shared" si="34"/>
        <v>302.15625000000006</v>
      </c>
      <c r="G82" s="139">
        <f t="shared" si="34"/>
        <v>302.15625000000006</v>
      </c>
    </row>
    <row r="83" spans="1:7" ht="14.1" customHeight="1">
      <c r="A83" s="326" t="s">
        <v>127</v>
      </c>
      <c r="B83" s="152">
        <f t="shared" ref="B83:G83" si="35">+B78</f>
        <v>0</v>
      </c>
      <c r="C83" s="130">
        <f t="shared" si="35"/>
        <v>0</v>
      </c>
      <c r="D83" s="130">
        <f t="shared" si="35"/>
        <v>0</v>
      </c>
      <c r="E83" s="130">
        <f t="shared" si="35"/>
        <v>0</v>
      </c>
      <c r="F83" s="130">
        <f t="shared" si="35"/>
        <v>0</v>
      </c>
      <c r="G83" s="139">
        <f t="shared" si="35"/>
        <v>0</v>
      </c>
    </row>
    <row r="84" spans="1:7" ht="14.1" customHeight="1" thickBot="1">
      <c r="A84" s="327" t="s">
        <v>9</v>
      </c>
      <c r="B84" s="153">
        <f t="shared" ref="B84:G84" si="36">+((B16*VLOOKUP(B4,ToposyncCPU,3)+B10*VLOOKUP(B4,ToposyncCPU,4))*(1-VLOOKUP(B4,ToposyncCompressionPercent,2))+B31*B8)*OneSecond</f>
        <v>0</v>
      </c>
      <c r="C84" s="149">
        <f t="shared" si="36"/>
        <v>0</v>
      </c>
      <c r="D84" s="149">
        <f t="shared" si="36"/>
        <v>0</v>
      </c>
      <c r="E84" s="149">
        <f t="shared" si="36"/>
        <v>0</v>
      </c>
      <c r="F84" s="149">
        <f t="shared" si="36"/>
        <v>0</v>
      </c>
      <c r="G84" s="150">
        <f t="shared" si="36"/>
        <v>0</v>
      </c>
    </row>
    <row r="85" spans="1:7" ht="14.1" customHeight="1" thickBot="1">
      <c r="A85" s="128"/>
      <c r="B85" s="146"/>
      <c r="C85" s="146"/>
      <c r="D85" s="146"/>
      <c r="E85" s="146"/>
      <c r="F85" s="146"/>
      <c r="G85" s="146"/>
    </row>
    <row r="86" spans="1:7" ht="14.1" customHeight="1" thickBot="1">
      <c r="A86" s="462" t="s">
        <v>309</v>
      </c>
      <c r="B86" s="463"/>
      <c r="C86" s="463"/>
      <c r="D86" s="463"/>
      <c r="E86" s="463"/>
      <c r="F86" s="463"/>
      <c r="G86" s="464"/>
    </row>
    <row r="87" spans="1:7" ht="14.1" customHeight="1">
      <c r="A87" s="328" t="s">
        <v>10</v>
      </c>
      <c r="B87" s="332">
        <f t="shared" ref="B87:G87" si="37">+B81</f>
        <v>133.55078125</v>
      </c>
      <c r="C87" s="333">
        <f t="shared" si="37"/>
        <v>133.55078125</v>
      </c>
      <c r="D87" s="333">
        <f t="shared" si="37"/>
        <v>133.55078125</v>
      </c>
      <c r="E87" s="333">
        <f t="shared" si="37"/>
        <v>138.44140625</v>
      </c>
      <c r="F87" s="333">
        <f t="shared" si="37"/>
        <v>138.44140625</v>
      </c>
      <c r="G87" s="334">
        <f t="shared" si="37"/>
        <v>138.44140625</v>
      </c>
    </row>
    <row r="88" spans="1:7" ht="14.1" customHeight="1" thickBot="1">
      <c r="A88" s="329" t="s">
        <v>11</v>
      </c>
      <c r="B88" s="155"/>
      <c r="C88" s="154"/>
      <c r="D88" s="154"/>
      <c r="E88" s="154"/>
      <c r="F88" s="154"/>
      <c r="G88" s="129"/>
    </row>
    <row r="89" spans="1:7" ht="14.1" customHeight="1" thickBot="1">
      <c r="A89" s="330" t="s">
        <v>24</v>
      </c>
      <c r="B89" s="335" t="str">
        <f>IF(B88&gt;0,+(B87-B88)/B88," ")</f>
        <v xml:space="preserve"> </v>
      </c>
      <c r="C89" s="336" t="str">
        <f>IF(C88&gt;0,+(C87-C88)/C88,".")</f>
        <v>.</v>
      </c>
      <c r="D89" s="336" t="str">
        <f>IF(D88&gt;0,+(D87-D88)/D88,".")</f>
        <v>.</v>
      </c>
      <c r="E89" s="336" t="str">
        <f>IF(E88&gt;0,+(E87-E88)/E88,".")</f>
        <v>.</v>
      </c>
      <c r="F89" s="336" t="str">
        <f>IF(F88&gt;0,+(F87-F88)/F88,".")</f>
        <v>.</v>
      </c>
      <c r="G89" s="337" t="str">
        <f>IF(G88&gt;0,+(G87-G88)/G88,".")</f>
        <v>.</v>
      </c>
    </row>
    <row r="90" spans="1:7" ht="14.1" customHeight="1">
      <c r="A90" s="328" t="s">
        <v>12</v>
      </c>
      <c r="B90" s="338">
        <f t="shared" ref="B90:G90" si="38">+B84</f>
        <v>0</v>
      </c>
      <c r="C90" s="339">
        <f t="shared" si="38"/>
        <v>0</v>
      </c>
      <c r="D90" s="339">
        <f t="shared" si="38"/>
        <v>0</v>
      </c>
      <c r="E90" s="339">
        <f t="shared" si="38"/>
        <v>0</v>
      </c>
      <c r="F90" s="339">
        <f t="shared" si="38"/>
        <v>0</v>
      </c>
      <c r="G90" s="340">
        <f t="shared" si="38"/>
        <v>0</v>
      </c>
    </row>
    <row r="91" spans="1:7" ht="14.1" customHeight="1" thickBot="1">
      <c r="A91" s="331" t="s">
        <v>13</v>
      </c>
      <c r="B91" s="156"/>
      <c r="C91" s="157"/>
      <c r="D91" s="157"/>
      <c r="E91" s="157"/>
      <c r="F91" s="157"/>
      <c r="G91" s="158"/>
    </row>
    <row r="92" spans="1:7" s="13" customFormat="1" ht="14.1" customHeight="1" thickBot="1">
      <c r="A92" s="329" t="s">
        <v>24</v>
      </c>
      <c r="B92" s="341" t="str">
        <f>IF(B91&gt;0,+(B90-B91)/B91," ")</f>
        <v xml:space="preserve"> </v>
      </c>
      <c r="C92" s="342" t="str">
        <f>IF(C91&gt;0,+(C90-C91)/C91,".")</f>
        <v>.</v>
      </c>
      <c r="D92" s="342" t="str">
        <f>IF(D91&gt;0,+(D90-D91)/D91,".")</f>
        <v>.</v>
      </c>
      <c r="E92" s="342" t="str">
        <f>IF(E91&gt;0,+(E90-E91)/E91,".")</f>
        <v>.</v>
      </c>
      <c r="F92" s="342" t="str">
        <f>IF(F91&gt;0,+(F90-F91)/F91,".")</f>
        <v>.</v>
      </c>
      <c r="G92" s="343" t="str">
        <f>IF(G91&gt;0,+(G90-G91)/G91,".")</f>
        <v>.</v>
      </c>
    </row>
  </sheetData>
  <mergeCells count="7">
    <mergeCell ref="A86:G86"/>
    <mergeCell ref="B1:G1"/>
    <mergeCell ref="A2:G2"/>
    <mergeCell ref="A28:G28"/>
    <mergeCell ref="A80:G80"/>
    <mergeCell ref="A27:G27"/>
    <mergeCell ref="A79:G79"/>
  </mergeCells>
  <phoneticPr fontId="2" type="noConversion"/>
  <pageMargins left="0.75" right="0.75" top="1" bottom="1" header="0.5" footer="0.5"/>
  <pageSetup paperSize="5" orientation="landscape"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Data!$B$2</xm:f>
          </x14:formula1>
          <xm:sqref>B4:G4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53"/>
  <sheetViews>
    <sheetView topLeftCell="A6" zoomScale="90" zoomScaleNormal="90" zoomScaleSheetLayoutView="80" workbookViewId="0">
      <selection activeCell="C43" sqref="C43"/>
    </sheetView>
  </sheetViews>
  <sheetFormatPr defaultColWidth="8.85546875" defaultRowHeight="12.75"/>
  <cols>
    <col min="1" max="1" width="37.42578125" style="3" customWidth="1"/>
    <col min="2" max="2" width="15.42578125" style="3" customWidth="1"/>
    <col min="3" max="3" width="12.42578125" bestFit="1" customWidth="1"/>
    <col min="4" max="4" width="10" customWidth="1"/>
    <col min="5" max="5" width="11.85546875" customWidth="1"/>
    <col min="6" max="6" width="13.42578125" customWidth="1"/>
    <col min="7" max="7" width="12.42578125" customWidth="1"/>
    <col min="8" max="8" width="11.140625" customWidth="1"/>
    <col min="9" max="9" width="18.7109375" customWidth="1"/>
    <col min="10" max="12" width="11.140625" customWidth="1"/>
  </cols>
  <sheetData>
    <row r="1" spans="1:12" s="7" customFormat="1" ht="39" thickBot="1">
      <c r="A1" s="222"/>
      <c r="B1" s="222"/>
      <c r="C1" s="223" t="s">
        <v>15</v>
      </c>
      <c r="D1" s="224" t="s">
        <v>26</v>
      </c>
      <c r="E1" s="224" t="s">
        <v>14</v>
      </c>
      <c r="F1" s="224" t="s">
        <v>21</v>
      </c>
      <c r="G1" s="229" t="s">
        <v>191</v>
      </c>
      <c r="H1" s="8"/>
      <c r="I1" s="8"/>
      <c r="J1" s="8"/>
      <c r="K1" s="8"/>
      <c r="L1" s="8"/>
    </row>
    <row r="2" spans="1:12">
      <c r="A2" s="185" t="s">
        <v>210</v>
      </c>
      <c r="B2" s="36" t="s">
        <v>379</v>
      </c>
      <c r="C2" s="290">
        <f>166804*1024-6*G2</f>
        <v>140038144</v>
      </c>
      <c r="D2" s="165"/>
      <c r="E2" s="165">
        <v>5542.1644800000004</v>
      </c>
      <c r="F2" s="165">
        <v>8569.9130830489194</v>
      </c>
      <c r="G2" s="165">
        <v>5128192</v>
      </c>
      <c r="H2" s="1"/>
      <c r="I2" s="1"/>
      <c r="K2" s="1"/>
    </row>
    <row r="3" spans="1:12" ht="26.25" customHeight="1">
      <c r="A3" s="184"/>
      <c r="B3" s="374" t="s">
        <v>416</v>
      </c>
      <c r="C3" s="291">
        <f>(164880*1024)-(6*G3)</f>
        <v>139460608</v>
      </c>
      <c r="D3" s="166"/>
      <c r="E3" s="166">
        <v>6200.7705599999999</v>
      </c>
      <c r="F3" s="166">
        <v>9248.9295411452404</v>
      </c>
      <c r="G3" s="166">
        <v>4896085.333333333</v>
      </c>
      <c r="H3" s="1"/>
      <c r="I3" s="1"/>
      <c r="K3" s="1"/>
    </row>
    <row r="4" spans="1:12">
      <c r="A4" s="184" t="s">
        <v>211</v>
      </c>
      <c r="B4" s="374" t="s">
        <v>380</v>
      </c>
      <c r="C4" s="167"/>
      <c r="D4" s="276">
        <v>4.8799999999999998E-3</v>
      </c>
      <c r="E4" s="276">
        <v>1.5299999999999999E-3</v>
      </c>
      <c r="F4" s="168"/>
      <c r="G4" s="168"/>
      <c r="H4" s="9"/>
      <c r="I4" s="9"/>
      <c r="J4" s="9"/>
      <c r="K4" s="9"/>
      <c r="L4" s="9"/>
    </row>
    <row r="5" spans="1:12" ht="18" customHeight="1" thickBot="1">
      <c r="A5" s="186"/>
      <c r="B5" s="25" t="s">
        <v>416</v>
      </c>
      <c r="C5" s="169"/>
      <c r="D5" s="276">
        <v>5.1599999999999997E-3</v>
      </c>
      <c r="E5" s="276">
        <v>1.1100000000000001E-3</v>
      </c>
      <c r="F5" s="170"/>
      <c r="G5" s="170"/>
      <c r="H5" s="9"/>
      <c r="I5" s="9"/>
      <c r="J5" s="9"/>
      <c r="K5" s="9"/>
      <c r="L5" s="9"/>
    </row>
    <row r="6" spans="1:12" ht="14.25" customHeight="1" thickBot="1">
      <c r="A6" s="225"/>
      <c r="B6" s="226"/>
      <c r="C6" s="480" t="s">
        <v>38</v>
      </c>
      <c r="D6" s="482"/>
      <c r="E6" s="481"/>
      <c r="F6" s="480" t="s">
        <v>39</v>
      </c>
      <c r="G6" s="481"/>
    </row>
    <row r="7" spans="1:12" s="10" customFormat="1" ht="26.25" thickBot="1">
      <c r="A7" s="183"/>
      <c r="B7" s="246"/>
      <c r="C7" s="247" t="s">
        <v>34</v>
      </c>
      <c r="D7" s="248" t="s">
        <v>40</v>
      </c>
      <c r="E7" s="249" t="s">
        <v>35</v>
      </c>
      <c r="F7" s="247" t="s">
        <v>36</v>
      </c>
      <c r="G7" s="249" t="s">
        <v>37</v>
      </c>
    </row>
    <row r="8" spans="1:12" ht="25.5">
      <c r="A8" s="227" t="s">
        <v>224</v>
      </c>
      <c r="B8" s="375" t="s">
        <v>380</v>
      </c>
      <c r="C8" s="228">
        <v>1.3500189609404627E-2</v>
      </c>
      <c r="D8" s="256"/>
      <c r="E8">
        <v>4.1334850208570341E-3</v>
      </c>
      <c r="F8" s="228"/>
      <c r="G8" s="292">
        <v>8.1700585682383174E-5</v>
      </c>
      <c r="H8" s="3"/>
    </row>
    <row r="9" spans="1:12">
      <c r="A9" s="184"/>
      <c r="B9" s="374" t="s">
        <v>416</v>
      </c>
      <c r="C9" s="292">
        <v>1.3689799014031096E-2</v>
      </c>
      <c r="D9" s="178"/>
      <c r="E9" s="172">
        <v>4.3230944254835039E-3</v>
      </c>
      <c r="F9" s="179"/>
      <c r="G9" s="172">
        <v>8.0078371887245609E-5</v>
      </c>
    </row>
    <row r="10" spans="1:12" ht="25.5">
      <c r="A10" s="184" t="s">
        <v>225</v>
      </c>
      <c r="B10" s="23" t="s">
        <v>380</v>
      </c>
      <c r="C10" s="171">
        <v>1.7064846416382264E-3</v>
      </c>
      <c r="D10" s="178"/>
      <c r="E10" s="172">
        <v>1.4789533560864623E-3</v>
      </c>
      <c r="F10" s="171"/>
      <c r="G10" s="172">
        <v>0</v>
      </c>
      <c r="H10" s="15"/>
    </row>
    <row r="11" spans="1:12" ht="14.25" customHeight="1">
      <c r="A11" s="184"/>
      <c r="B11" s="23" t="s">
        <v>416</v>
      </c>
      <c r="C11" s="171">
        <v>1.7854885602325895E-3</v>
      </c>
      <c r="D11" s="22"/>
      <c r="E11" s="172">
        <v>3.9893818733409284E-4</v>
      </c>
      <c r="F11" s="27"/>
      <c r="G11" s="172">
        <f>+G9*G10/G8</f>
        <v>0</v>
      </c>
    </row>
    <row r="12" spans="1:12" ht="25.5">
      <c r="A12" s="184" t="s">
        <v>41</v>
      </c>
      <c r="B12" s="23" t="s">
        <v>380</v>
      </c>
      <c r="C12" s="175">
        <v>1.1000000000000001</v>
      </c>
      <c r="D12" s="257"/>
      <c r="E12" s="176">
        <v>0.4</v>
      </c>
      <c r="F12" s="179"/>
      <c r="G12" s="177">
        <v>4.000000000000001E-3</v>
      </c>
    </row>
    <row r="13" spans="1:12">
      <c r="A13" s="184"/>
      <c r="B13" s="23" t="s">
        <v>416</v>
      </c>
      <c r="C13" s="175">
        <v>0.9</v>
      </c>
      <c r="D13" s="178"/>
      <c r="E13" s="176">
        <v>0.4</v>
      </c>
      <c r="F13" s="179"/>
      <c r="G13" s="177">
        <v>6.0000000000000001E-3</v>
      </c>
    </row>
    <row r="14" spans="1:12" ht="25.5">
      <c r="A14" s="184" t="s">
        <v>240</v>
      </c>
      <c r="B14" s="23" t="s">
        <v>380</v>
      </c>
      <c r="C14" s="171">
        <v>3.6405005688282138E-3</v>
      </c>
      <c r="D14" s="178"/>
      <c r="E14" s="181"/>
      <c r="F14" s="179"/>
      <c r="G14" s="172">
        <v>8.1700585682383174E-5</v>
      </c>
    </row>
    <row r="15" spans="1:12">
      <c r="A15" s="184"/>
      <c r="B15" s="23" t="s">
        <v>416</v>
      </c>
      <c r="C15" s="171">
        <f>+C14</f>
        <v>3.6405005688282138E-3</v>
      </c>
      <c r="D15" s="178"/>
      <c r="E15" s="181"/>
      <c r="F15" s="179"/>
      <c r="G15" s="172">
        <v>8.2964648379892976E-5</v>
      </c>
    </row>
    <row r="16" spans="1:12" ht="25.5">
      <c r="A16" s="184" t="s">
        <v>47</v>
      </c>
      <c r="B16" s="23" t="s">
        <v>380</v>
      </c>
      <c r="C16" s="175">
        <v>1.6</v>
      </c>
      <c r="D16" s="178"/>
      <c r="E16" s="176">
        <v>1</v>
      </c>
      <c r="F16" s="179"/>
      <c r="G16" s="176">
        <v>0.4</v>
      </c>
    </row>
    <row r="17" spans="1:7" ht="14.25" customHeight="1">
      <c r="A17" s="184"/>
      <c r="B17" s="23" t="s">
        <v>416</v>
      </c>
      <c r="C17" s="175">
        <v>2</v>
      </c>
      <c r="D17" s="178"/>
      <c r="E17" s="176">
        <v>1.6</v>
      </c>
      <c r="F17" s="179"/>
      <c r="G17" s="176">
        <v>0.6</v>
      </c>
    </row>
    <row r="18" spans="1:7" s="11" customFormat="1" ht="40.5" customHeight="1">
      <c r="A18" s="184" t="s">
        <v>42</v>
      </c>
      <c r="B18" s="23" t="s">
        <v>380</v>
      </c>
      <c r="C18" s="180">
        <v>10</v>
      </c>
      <c r="D18" s="178"/>
      <c r="E18" s="181"/>
      <c r="F18" s="179"/>
      <c r="G18" s="181"/>
    </row>
    <row r="19" spans="1:7">
      <c r="A19" s="184"/>
      <c r="B19" s="23" t="s">
        <v>416</v>
      </c>
      <c r="C19" s="180">
        <v>10</v>
      </c>
      <c r="D19" s="178"/>
      <c r="E19" s="182">
        <f>+E18</f>
        <v>0</v>
      </c>
      <c r="F19" s="179"/>
      <c r="G19" s="181"/>
    </row>
    <row r="20" spans="1:7">
      <c r="A20" s="184" t="s">
        <v>241</v>
      </c>
      <c r="B20" s="374" t="s">
        <v>380</v>
      </c>
      <c r="C20" s="180"/>
      <c r="D20" s="168">
        <v>1.11E-2</v>
      </c>
      <c r="E20" s="172">
        <v>5.1999999999999998E-3</v>
      </c>
      <c r="F20" s="179"/>
      <c r="G20" s="172">
        <v>8.5134444444444452E-5</v>
      </c>
    </row>
    <row r="21" spans="1:7" ht="15.75" customHeight="1">
      <c r="A21" s="184"/>
      <c r="B21" s="24" t="s">
        <v>416</v>
      </c>
      <c r="C21" s="180"/>
      <c r="D21">
        <v>2.2700000000000001E-2</v>
      </c>
      <c r="E21" s="38">
        <v>4.0000000000000001E-3</v>
      </c>
      <c r="F21" s="179"/>
      <c r="G21" s="172">
        <v>6.9092592592592586E-5</v>
      </c>
    </row>
    <row r="22" spans="1:7">
      <c r="A22" s="184"/>
      <c r="B22" s="77"/>
      <c r="C22" s="258"/>
      <c r="D22" s="259"/>
      <c r="E22" s="260"/>
      <c r="F22" s="261"/>
      <c r="G22" s="260"/>
    </row>
    <row r="23" spans="1:7">
      <c r="A23" s="184" t="s">
        <v>27</v>
      </c>
      <c r="B23" s="23" t="s">
        <v>380</v>
      </c>
      <c r="C23" s="175">
        <v>0.1</v>
      </c>
      <c r="D23" s="178"/>
      <c r="E23" s="181"/>
      <c r="F23" s="179"/>
      <c r="G23" s="181"/>
    </row>
    <row r="24" spans="1:7" ht="14.25" customHeight="1">
      <c r="A24" s="184"/>
      <c r="B24" s="23" t="s">
        <v>416</v>
      </c>
      <c r="C24" s="175">
        <f>+C23</f>
        <v>0.1</v>
      </c>
      <c r="D24" s="178"/>
      <c r="E24" s="181"/>
      <c r="F24" s="179"/>
      <c r="G24" s="181"/>
    </row>
    <row r="25" spans="1:7">
      <c r="A25" s="184" t="s">
        <v>43</v>
      </c>
      <c r="B25" s="23" t="s">
        <v>380</v>
      </c>
      <c r="C25" s="175">
        <v>1.4</v>
      </c>
      <c r="D25" s="178"/>
      <c r="E25" s="181"/>
      <c r="F25" s="179"/>
      <c r="G25" s="181"/>
    </row>
    <row r="26" spans="1:7">
      <c r="A26" s="184"/>
      <c r="B26" s="23" t="s">
        <v>416</v>
      </c>
      <c r="C26" s="175">
        <v>1.7</v>
      </c>
      <c r="D26" s="178"/>
      <c r="E26" s="181"/>
      <c r="F26" s="179"/>
      <c r="G26" s="181"/>
    </row>
    <row r="27" spans="1:7">
      <c r="A27" s="184" t="s">
        <v>123</v>
      </c>
      <c r="B27" s="374" t="s">
        <v>380</v>
      </c>
      <c r="C27" s="175">
        <v>1.6</v>
      </c>
      <c r="D27" s="178"/>
      <c r="E27" s="181"/>
      <c r="F27" s="179"/>
      <c r="G27" s="181"/>
    </row>
    <row r="28" spans="1:7">
      <c r="A28" s="184"/>
      <c r="B28" s="24" t="s">
        <v>416</v>
      </c>
      <c r="C28" s="175">
        <v>1.7</v>
      </c>
      <c r="D28" s="178"/>
      <c r="E28" s="181"/>
      <c r="F28" s="179"/>
      <c r="G28" s="181"/>
    </row>
    <row r="29" spans="1:7">
      <c r="A29" s="184" t="s">
        <v>120</v>
      </c>
      <c r="B29" s="374" t="s">
        <v>380</v>
      </c>
      <c r="C29" s="175">
        <v>2</v>
      </c>
      <c r="D29" s="178"/>
      <c r="E29" s="181"/>
      <c r="F29" s="179"/>
      <c r="G29" s="181"/>
    </row>
    <row r="30" spans="1:7" ht="14.25" customHeight="1">
      <c r="A30" s="184"/>
      <c r="B30" s="24" t="s">
        <v>416</v>
      </c>
      <c r="C30" s="175">
        <v>2.7</v>
      </c>
      <c r="D30" s="178"/>
      <c r="E30" s="181"/>
      <c r="F30" s="179"/>
      <c r="G30" s="181"/>
    </row>
    <row r="31" spans="1:7">
      <c r="A31" s="184" t="s">
        <v>137</v>
      </c>
      <c r="B31" s="374" t="s">
        <v>380</v>
      </c>
      <c r="C31" s="175">
        <v>1</v>
      </c>
      <c r="D31" s="178"/>
      <c r="E31" s="181"/>
      <c r="F31" s="179"/>
      <c r="G31" s="181"/>
    </row>
    <row r="32" spans="1:7">
      <c r="A32" s="184"/>
      <c r="B32" s="24" t="s">
        <v>416</v>
      </c>
      <c r="C32" s="175">
        <v>1</v>
      </c>
      <c r="D32" s="178"/>
      <c r="E32" s="181"/>
      <c r="F32" s="179"/>
      <c r="G32" s="181"/>
    </row>
    <row r="33" spans="1:7" ht="14.25" customHeight="1">
      <c r="A33" s="184" t="s">
        <v>153</v>
      </c>
      <c r="B33" s="374" t="s">
        <v>380</v>
      </c>
      <c r="C33" s="175">
        <v>2</v>
      </c>
      <c r="D33" s="178"/>
      <c r="E33" s="181"/>
      <c r="F33" s="179"/>
      <c r="G33" s="181"/>
    </row>
    <row r="34" spans="1:7">
      <c r="A34" s="184"/>
      <c r="B34" s="24" t="s">
        <v>416</v>
      </c>
      <c r="C34" s="175">
        <v>2.9</v>
      </c>
      <c r="D34" s="178"/>
      <c r="E34" s="181"/>
      <c r="F34" s="179"/>
      <c r="G34" s="181"/>
    </row>
    <row r="35" spans="1:7" ht="14.25" customHeight="1">
      <c r="A35" s="184" t="s">
        <v>22</v>
      </c>
      <c r="B35" s="23" t="s">
        <v>380</v>
      </c>
      <c r="C35" s="179">
        <v>29</v>
      </c>
      <c r="D35" s="178"/>
      <c r="E35" s="181"/>
      <c r="F35" s="179"/>
      <c r="G35" s="181"/>
    </row>
    <row r="36" spans="1:7">
      <c r="A36" s="184"/>
      <c r="B36" s="23" t="s">
        <v>416</v>
      </c>
      <c r="C36" s="179">
        <v>29</v>
      </c>
      <c r="D36" s="178"/>
      <c r="E36" s="181"/>
      <c r="F36" s="179"/>
      <c r="G36" s="181"/>
    </row>
    <row r="37" spans="1:7" ht="14.25" customHeight="1">
      <c r="A37" s="184" t="s">
        <v>23</v>
      </c>
      <c r="B37" s="374" t="s">
        <v>380</v>
      </c>
      <c r="C37" s="179">
        <v>364</v>
      </c>
      <c r="D37" s="178"/>
      <c r="E37" s="181"/>
      <c r="F37" s="179"/>
      <c r="G37" s="181"/>
    </row>
    <row r="38" spans="1:7" ht="13.5" thickBot="1">
      <c r="A38" s="187"/>
      <c r="B38" s="398" t="s">
        <v>416</v>
      </c>
      <c r="C38" s="262">
        <v>364</v>
      </c>
      <c r="D38" s="263"/>
      <c r="E38" s="264"/>
      <c r="F38" s="265"/>
      <c r="G38" s="264"/>
    </row>
    <row r="39" spans="1:7" ht="56.1" customHeight="1">
      <c r="A39" s="188" t="s">
        <v>129</v>
      </c>
      <c r="B39" s="19"/>
      <c r="C39" s="21">
        <v>0.15</v>
      </c>
      <c r="D39" s="11"/>
      <c r="E39" s="11"/>
      <c r="F39" s="11"/>
      <c r="G39" s="11"/>
    </row>
    <row r="40" spans="1:7" ht="41.45" customHeight="1">
      <c r="A40" s="189" t="s">
        <v>79</v>
      </c>
      <c r="B40" s="18"/>
      <c r="C40" s="29">
        <f>ActiveNotificationsPerManagedPortOrInterface/ManagedPortsAndInterfacesPerIPNetwork</f>
        <v>5.3571428571428575E-2</v>
      </c>
      <c r="D40" s="11"/>
      <c r="E40" s="11"/>
      <c r="F40" s="11"/>
      <c r="G40" s="11"/>
    </row>
    <row r="41" spans="1:7" s="11" customFormat="1" ht="41.45" customHeight="1">
      <c r="A41" s="189" t="s">
        <v>106</v>
      </c>
      <c r="B41" s="18"/>
      <c r="C41" s="26">
        <v>5</v>
      </c>
    </row>
    <row r="42" spans="1:7" s="11" customFormat="1" ht="27" customHeight="1">
      <c r="A42" s="189" t="s">
        <v>128</v>
      </c>
      <c r="B42" s="18"/>
      <c r="C42" s="26">
        <v>2.8</v>
      </c>
    </row>
    <row r="43" spans="1:7" s="11" customFormat="1" ht="14.1" customHeight="1">
      <c r="A43" s="189" t="s">
        <v>155</v>
      </c>
      <c r="B43" s="18"/>
      <c r="C43" s="26">
        <v>4</v>
      </c>
    </row>
    <row r="44" spans="1:7" s="11" customFormat="1" ht="14.1" customHeight="1">
      <c r="A44" s="189" t="s">
        <v>162</v>
      </c>
      <c r="B44" s="18"/>
      <c r="C44" s="26">
        <v>4</v>
      </c>
    </row>
    <row r="45" spans="1:7" ht="14.25" customHeight="1">
      <c r="A45" s="189" t="s">
        <v>2</v>
      </c>
      <c r="B45" s="18"/>
      <c r="C45" s="30">
        <v>1.1574074074074073E-5</v>
      </c>
      <c r="D45" s="12"/>
      <c r="E45" s="11"/>
      <c r="F45" s="11"/>
      <c r="G45" s="11"/>
    </row>
    <row r="46" spans="1:7" ht="14.25" customHeight="1">
      <c r="A46" s="189"/>
      <c r="B46" s="28"/>
      <c r="C46" s="31"/>
    </row>
    <row r="47" spans="1:7">
      <c r="A47" s="189"/>
      <c r="B47" s="28"/>
      <c r="C47" s="31"/>
    </row>
    <row r="48" spans="1:7">
      <c r="A48" s="189" t="s">
        <v>200</v>
      </c>
      <c r="B48" s="276" t="s">
        <v>375</v>
      </c>
      <c r="C48" s="31"/>
    </row>
    <row r="49" spans="1:3">
      <c r="A49" s="189" t="s">
        <v>201</v>
      </c>
      <c r="B49" s="276" t="s">
        <v>376</v>
      </c>
      <c r="C49" s="31"/>
    </row>
    <row r="50" spans="1:3">
      <c r="A50" s="189" t="s">
        <v>204</v>
      </c>
      <c r="B50" s="276" t="s">
        <v>381</v>
      </c>
      <c r="C50" s="31"/>
    </row>
    <row r="51" spans="1:3">
      <c r="A51" s="189" t="s">
        <v>205</v>
      </c>
      <c r="B51" s="276" t="s">
        <v>382</v>
      </c>
      <c r="C51" s="31"/>
    </row>
    <row r="52" spans="1:3">
      <c r="A52" s="189" t="s">
        <v>202</v>
      </c>
      <c r="B52" s="483" t="s">
        <v>383</v>
      </c>
      <c r="C52" s="484"/>
    </row>
    <row r="53" spans="1:3">
      <c r="A53" s="189" t="s">
        <v>203</v>
      </c>
      <c r="B53" s="483" t="s">
        <v>384</v>
      </c>
      <c r="C53" s="484"/>
    </row>
  </sheetData>
  <sheetProtection sheet="1" objects="1" scenarios="1"/>
  <mergeCells count="4">
    <mergeCell ref="F6:G6"/>
    <mergeCell ref="C6:E6"/>
    <mergeCell ref="B52:C52"/>
    <mergeCell ref="B53:C53"/>
  </mergeCells>
  <phoneticPr fontId="2" type="noConversion"/>
  <pageMargins left="0.75" right="0.75" top="1" bottom="1" header="0.5" footer="0.5"/>
  <pageSetup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11"/>
  <sheetViews>
    <sheetView workbookViewId="0">
      <selection activeCell="F33" sqref="F33"/>
    </sheetView>
  </sheetViews>
  <sheetFormatPr defaultColWidth="9.140625" defaultRowHeight="12.75"/>
  <cols>
    <col min="1" max="1" width="89.42578125" style="2" customWidth="1"/>
    <col min="2" max="16384" width="9.140625" style="2"/>
  </cols>
  <sheetData>
    <row r="1" spans="1:1" s="4" customFormat="1" ht="26.45" customHeight="1">
      <c r="A1" s="32" t="s">
        <v>74</v>
      </c>
    </row>
    <row r="2" spans="1:1" s="4" customFormat="1" ht="53.1" customHeight="1">
      <c r="A2" s="18" t="s">
        <v>76</v>
      </c>
    </row>
    <row r="3" spans="1:1" s="4" customFormat="1" ht="26.45" customHeight="1">
      <c r="A3" s="32" t="s">
        <v>77</v>
      </c>
    </row>
    <row r="4" spans="1:1" s="4" customFormat="1" ht="39.75" customHeight="1">
      <c r="A4" s="32" t="s">
        <v>78</v>
      </c>
    </row>
    <row r="5" spans="1:1" s="4" customFormat="1" ht="13.35" customHeight="1">
      <c r="A5" s="18" t="s">
        <v>72</v>
      </c>
    </row>
    <row r="6" spans="1:1" s="4" customFormat="1" ht="39.75" customHeight="1">
      <c r="A6" s="18" t="s">
        <v>73</v>
      </c>
    </row>
    <row r="7" spans="1:1" ht="13.35" customHeight="1"/>
    <row r="8" spans="1:1" ht="13.35" customHeight="1"/>
    <row r="9" spans="1:1" ht="13.35" customHeight="1"/>
    <row r="10" spans="1:1" ht="13.35" customHeight="1"/>
    <row r="11" spans="1:1" ht="13.35" customHeight="1"/>
  </sheetData>
  <phoneticPr fontId="2"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3:G24"/>
  <sheetViews>
    <sheetView zoomScale="80" zoomScaleNormal="80" workbookViewId="0">
      <selection activeCell="B16" sqref="B16:B23"/>
    </sheetView>
  </sheetViews>
  <sheetFormatPr defaultColWidth="8.85546875" defaultRowHeight="12.75"/>
  <cols>
    <col min="2" max="2" width="17.42578125" customWidth="1"/>
    <col min="3" max="3" width="17.7109375" customWidth="1"/>
    <col min="4" max="4" width="30.85546875" customWidth="1"/>
    <col min="5" max="6" width="10" bestFit="1" customWidth="1"/>
    <col min="7" max="7" width="12.85546875" customWidth="1"/>
  </cols>
  <sheetData>
    <row r="3" spans="2:7">
      <c r="B3" s="492" t="s">
        <v>417</v>
      </c>
      <c r="C3" s="492"/>
      <c r="D3" s="492"/>
    </row>
    <row r="4" spans="2:7" ht="13.5" thickBot="1"/>
    <row r="5" spans="2:7">
      <c r="B5" s="493" t="s">
        <v>355</v>
      </c>
      <c r="C5" s="494"/>
      <c r="D5" s="495"/>
      <c r="E5" s="284" t="s">
        <v>385</v>
      </c>
      <c r="F5" s="284" t="s">
        <v>418</v>
      </c>
      <c r="G5" s="286" t="s">
        <v>206</v>
      </c>
    </row>
    <row r="6" spans="2:7" ht="51" customHeight="1" thickBot="1">
      <c r="B6" s="496"/>
      <c r="C6" s="497"/>
      <c r="D6" s="498"/>
      <c r="E6" s="277" t="s">
        <v>354</v>
      </c>
      <c r="F6" s="277" t="s">
        <v>354</v>
      </c>
      <c r="G6" s="287" t="s">
        <v>419</v>
      </c>
    </row>
    <row r="7" spans="2:7" ht="26.25" thickBot="1">
      <c r="B7" s="499" t="s">
        <v>420</v>
      </c>
      <c r="C7" s="501" t="s">
        <v>234</v>
      </c>
      <c r="D7" s="282" t="s">
        <v>235</v>
      </c>
      <c r="E7" s="159">
        <v>61.002811260050812</v>
      </c>
      <c r="F7" s="159">
        <v>62.504613237943069</v>
      </c>
      <c r="G7" s="294">
        <f>IF($E7&gt;0,(F7-$E7)/$E7,"")</f>
        <v>2.461856997852406E-2</v>
      </c>
    </row>
    <row r="8" spans="2:7" ht="26.25" thickBot="1">
      <c r="B8" s="500"/>
      <c r="C8" s="502"/>
      <c r="D8" s="283" t="s">
        <v>236</v>
      </c>
      <c r="E8" s="159">
        <v>72.951689177388488</v>
      </c>
      <c r="F8" s="159">
        <v>73.8312079850365</v>
      </c>
      <c r="G8" s="294">
        <f t="shared" ref="G8:G23" si="0">IF($E8&gt;0,(F8-$E8)/$E8,"")</f>
        <v>1.2056181530072372E-2</v>
      </c>
    </row>
    <row r="9" spans="2:7" ht="13.5" thickBot="1">
      <c r="B9" s="500"/>
      <c r="C9" s="504" t="s">
        <v>243</v>
      </c>
      <c r="D9" s="283" t="s">
        <v>244</v>
      </c>
      <c r="E9" s="285">
        <v>1.6596410487486071E-2</v>
      </c>
      <c r="F9" s="159">
        <v>1.5893480533162644E-2</v>
      </c>
      <c r="G9" s="294">
        <f t="shared" si="0"/>
        <v>-4.2354336490619246E-2</v>
      </c>
    </row>
    <row r="10" spans="2:7" ht="13.5" thickBot="1">
      <c r="B10" s="500"/>
      <c r="C10" s="502"/>
      <c r="D10" s="283" t="s">
        <v>245</v>
      </c>
      <c r="E10" s="285">
        <v>1.3676803732805606E-2</v>
      </c>
      <c r="F10" s="159">
        <v>1.2188878754091461E-2</v>
      </c>
      <c r="G10" s="294">
        <f t="shared" si="0"/>
        <v>-0.10879186451620719</v>
      </c>
    </row>
    <row r="11" spans="2:7" ht="13.5" thickBot="1">
      <c r="B11" s="500"/>
      <c r="C11" s="500" t="s">
        <v>35</v>
      </c>
      <c r="D11" s="283" t="s">
        <v>237</v>
      </c>
      <c r="E11" s="159">
        <v>150.78580626269311</v>
      </c>
      <c r="F11" s="159">
        <v>154.06506779208499</v>
      </c>
      <c r="G11" s="294">
        <f t="shared" si="0"/>
        <v>2.1747813077836211E-2</v>
      </c>
    </row>
    <row r="12" spans="2:7" ht="13.5" thickBot="1">
      <c r="B12" s="500"/>
      <c r="C12" s="503"/>
      <c r="D12" s="283" t="s">
        <v>238</v>
      </c>
      <c r="E12" s="159">
        <v>1427.6677223141055</v>
      </c>
      <c r="F12" s="159">
        <v>1162.9734097038299</v>
      </c>
      <c r="G12" s="294">
        <f t="shared" si="0"/>
        <v>-0.18540330391530654</v>
      </c>
    </row>
    <row r="13" spans="2:7" ht="13.5" thickBot="1">
      <c r="B13" s="500"/>
      <c r="C13" s="504" t="s">
        <v>36</v>
      </c>
      <c r="D13" s="283" t="s">
        <v>237</v>
      </c>
      <c r="E13" s="159">
        <v>146.63471801084154</v>
      </c>
      <c r="F13" s="159">
        <v>142.03209739280283</v>
      </c>
      <c r="G13" s="294">
        <f t="shared" si="0"/>
        <v>-3.1388341591098608E-2</v>
      </c>
    </row>
    <row r="14" spans="2:7" ht="13.5" thickBot="1">
      <c r="B14" s="500"/>
      <c r="C14" s="504"/>
      <c r="D14" s="380" t="s">
        <v>238</v>
      </c>
      <c r="E14" s="378">
        <v>690.60309610136665</v>
      </c>
      <c r="F14" s="378">
        <v>692.25475833509347</v>
      </c>
      <c r="G14" s="381">
        <f t="shared" si="0"/>
        <v>2.3916229785978164E-3</v>
      </c>
    </row>
    <row r="15" spans="2:7" ht="5.25" customHeight="1" thickBot="1">
      <c r="B15" s="250"/>
      <c r="C15" s="194"/>
      <c r="D15" s="243"/>
      <c r="E15" s="384"/>
      <c r="F15" s="384"/>
      <c r="G15" s="385" t="str">
        <f t="shared" si="0"/>
        <v/>
      </c>
    </row>
    <row r="16" spans="2:7" ht="26.25" thickBot="1">
      <c r="B16" s="485" t="s">
        <v>421</v>
      </c>
      <c r="C16" s="488" t="s">
        <v>234</v>
      </c>
      <c r="D16" s="382" t="s">
        <v>235</v>
      </c>
      <c r="E16" s="383">
        <v>51.026250651537445</v>
      </c>
      <c r="F16" s="383">
        <v>59.890310816286785</v>
      </c>
      <c r="G16" s="293">
        <f t="shared" si="0"/>
        <v>0.17371568656460282</v>
      </c>
    </row>
    <row r="17" spans="2:7" ht="26.25" thickBot="1">
      <c r="B17" s="486"/>
      <c r="C17" s="489"/>
      <c r="D17" s="236" t="s">
        <v>236</v>
      </c>
      <c r="E17" s="159">
        <v>85.720548020312464</v>
      </c>
      <c r="F17" s="159">
        <v>63.043298506289204</v>
      </c>
      <c r="G17" s="386">
        <f t="shared" si="0"/>
        <v>-0.26454858301477058</v>
      </c>
    </row>
    <row r="18" spans="2:7" ht="13.5" thickBot="1">
      <c r="B18" s="486"/>
      <c r="C18" s="489" t="s">
        <v>243</v>
      </c>
      <c r="D18" s="236" t="s">
        <v>244</v>
      </c>
      <c r="E18" s="285">
        <v>1.5026494443045981E-2</v>
      </c>
      <c r="F18" s="285">
        <v>1.4399799235638798E-2</v>
      </c>
      <c r="G18" s="294">
        <f t="shared" si="0"/>
        <v>-4.1706015317312273E-2</v>
      </c>
    </row>
    <row r="19" spans="2:7" ht="13.5" thickBot="1">
      <c r="B19" s="486"/>
      <c r="C19" s="489"/>
      <c r="D19" s="236" t="s">
        <v>245</v>
      </c>
      <c r="E19" s="285">
        <v>1.0990598189736399E-2</v>
      </c>
      <c r="F19" s="285">
        <v>1.0726136303441235E-2</v>
      </c>
      <c r="G19" s="294">
        <f t="shared" si="0"/>
        <v>-2.4062556171158458E-2</v>
      </c>
    </row>
    <row r="20" spans="2:7" ht="13.5" thickBot="1">
      <c r="B20" s="486"/>
      <c r="C20" s="490" t="s">
        <v>35</v>
      </c>
      <c r="D20" s="236" t="s">
        <v>237</v>
      </c>
      <c r="E20" s="159">
        <v>157.38928756075867</v>
      </c>
      <c r="F20" s="159">
        <v>154.28442157022144</v>
      </c>
      <c r="G20" s="294">
        <f t="shared" si="0"/>
        <v>-1.9727301893647811E-2</v>
      </c>
    </row>
    <row r="21" spans="2:7" ht="13.5" thickBot="1">
      <c r="B21" s="486"/>
      <c r="C21" s="490"/>
      <c r="D21" s="236" t="s">
        <v>238</v>
      </c>
      <c r="E21" s="159">
        <v>1466.497154848875</v>
      </c>
      <c r="F21" s="159">
        <v>1151.7699546799342</v>
      </c>
      <c r="G21" s="294">
        <f t="shared" si="0"/>
        <v>-0.21461153138164382</v>
      </c>
    </row>
    <row r="22" spans="2:7" ht="13.5" thickBot="1">
      <c r="B22" s="486"/>
      <c r="C22" s="489" t="s">
        <v>36</v>
      </c>
      <c r="D22" s="236" t="s">
        <v>237</v>
      </c>
      <c r="E22" s="159">
        <v>147.62663562291311</v>
      </c>
      <c r="F22" s="159">
        <v>150.91424631628036</v>
      </c>
      <c r="G22" s="294">
        <f t="shared" si="0"/>
        <v>2.2269766424569064E-2</v>
      </c>
    </row>
    <row r="23" spans="2:7" ht="13.5" thickBot="1">
      <c r="B23" s="487"/>
      <c r="C23" s="491"/>
      <c r="D23" s="238" t="s">
        <v>238</v>
      </c>
      <c r="E23" s="295">
        <v>692.07230827840885</v>
      </c>
      <c r="F23" s="295">
        <v>732.39737021506926</v>
      </c>
      <c r="G23" s="379">
        <f t="shared" si="0"/>
        <v>5.8267122458594778E-2</v>
      </c>
    </row>
    <row r="24" spans="2:7" ht="5.25" customHeight="1"/>
  </sheetData>
  <sheetProtection sheet="1" objects="1" scenarios="1"/>
  <mergeCells count="12">
    <mergeCell ref="B3:D3"/>
    <mergeCell ref="B5:D6"/>
    <mergeCell ref="B7:B14"/>
    <mergeCell ref="C7:C8"/>
    <mergeCell ref="C11:C12"/>
    <mergeCell ref="C13:C14"/>
    <mergeCell ref="C9:C10"/>
    <mergeCell ref="B16:B23"/>
    <mergeCell ref="C16:C17"/>
    <mergeCell ref="C18:C19"/>
    <mergeCell ref="C20:C21"/>
    <mergeCell ref="C22:C23"/>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BE75"/>
  <sheetViews>
    <sheetView zoomScale="85" zoomScaleNormal="85" workbookViewId="0">
      <pane xSplit="5" ySplit="9" topLeftCell="F34" activePane="bottomRight" state="frozen"/>
      <selection pane="topRight" activeCell="F1" sqref="F1"/>
      <selection pane="bottomLeft" activeCell="A10" sqref="A10"/>
      <selection pane="bottomRight" activeCell="E34" sqref="E34"/>
    </sheetView>
  </sheetViews>
  <sheetFormatPr defaultColWidth="8.85546875" defaultRowHeight="12.75" outlineLevelCol="1"/>
  <cols>
    <col min="1" max="1" width="18.7109375" style="16" customWidth="1"/>
    <col min="2" max="2" width="22.28515625" style="33" customWidth="1"/>
    <col min="3" max="3" width="15.42578125" style="3" customWidth="1"/>
    <col min="4" max="4" width="16.140625" style="81" customWidth="1" outlineLevel="1"/>
    <col min="5" max="5" width="11.28515625" style="81" customWidth="1" outlineLevel="1"/>
    <col min="6" max="6" width="10.42578125" style="3" customWidth="1"/>
    <col min="7" max="7" width="12" customWidth="1" outlineLevel="1"/>
    <col min="8" max="8" width="12.140625" customWidth="1" outlineLevel="1"/>
    <col min="9" max="9" width="16.140625" customWidth="1" outlineLevel="1"/>
    <col min="10" max="10" width="12" customWidth="1" outlineLevel="1"/>
    <col min="11" max="11" width="12.42578125" customWidth="1" outlineLevel="1"/>
    <col min="12" max="12" width="12.140625" customWidth="1" outlineLevel="1"/>
    <col min="13" max="14" width="12.42578125" customWidth="1" outlineLevel="1"/>
    <col min="15" max="16" width="12" customWidth="1" outlineLevel="1"/>
    <col min="17" max="17" width="12.85546875" customWidth="1" outlineLevel="1"/>
    <col min="18" max="18" width="12.28515625" customWidth="1" outlineLevel="1"/>
    <col min="19" max="20" width="11.28515625" customWidth="1" outlineLevel="1"/>
    <col min="21" max="21" width="8.140625" bestFit="1" customWidth="1"/>
    <col min="22" max="22" width="12" customWidth="1" outlineLevel="1"/>
    <col min="23" max="23" width="13.140625" customWidth="1" outlineLevel="1"/>
    <col min="24" max="24" width="13" customWidth="1" outlineLevel="1"/>
    <col min="25" max="25" width="12.42578125" customWidth="1" outlineLevel="1"/>
    <col min="26" max="26" width="13.140625" customWidth="1" outlineLevel="1"/>
    <col min="27" max="28" width="12.85546875" customWidth="1" outlineLevel="1"/>
    <col min="29" max="29" width="13.28515625" customWidth="1" outlineLevel="1"/>
    <col min="30" max="30" width="12.28515625" customWidth="1" outlineLevel="1"/>
    <col min="31" max="31" width="11.28515625" customWidth="1" outlineLevel="1"/>
    <col min="32" max="32" width="11.42578125" customWidth="1" outlineLevel="1"/>
    <col min="33" max="33" width="12.42578125" customWidth="1" outlineLevel="1"/>
    <col min="34" max="34" width="12.140625" customWidth="1" outlineLevel="1"/>
    <col min="35" max="35" width="11.85546875" customWidth="1" outlineLevel="1"/>
    <col min="36" max="36" width="10.42578125" bestFit="1" customWidth="1"/>
    <col min="37" max="38" width="11.28515625" hidden="1" customWidth="1" outlineLevel="1"/>
    <col min="39" max="39" width="16.140625" hidden="1" customWidth="1" outlineLevel="1"/>
    <col min="40" max="40" width="12.7109375" customWidth="1" collapsed="1"/>
    <col min="42" max="43" width="11.28515625" customWidth="1" outlineLevel="1"/>
    <col min="44" max="44" width="16.140625" customWidth="1" outlineLevel="1"/>
    <col min="45" max="45" width="13.28515625" customWidth="1" outlineLevel="1"/>
    <col min="46" max="56" width="11.28515625" customWidth="1" outlineLevel="1"/>
    <col min="57" max="57" width="8.140625" bestFit="1" customWidth="1"/>
  </cols>
  <sheetData>
    <row r="1" spans="1:57" s="58" customFormat="1" ht="26.25" customHeight="1" thickBot="1">
      <c r="A1" s="267" t="s">
        <v>242</v>
      </c>
      <c r="B1" s="528"/>
      <c r="C1" s="529"/>
      <c r="D1" s="78"/>
      <c r="E1" s="78"/>
      <c r="F1" s="80"/>
      <c r="G1" s="517" t="s">
        <v>422</v>
      </c>
      <c r="H1" s="518"/>
      <c r="I1" s="518"/>
      <c r="J1" s="518"/>
      <c r="K1" s="518"/>
      <c r="L1" s="518"/>
      <c r="M1" s="518"/>
      <c r="N1" s="518"/>
      <c r="O1" s="518"/>
      <c r="P1" s="518"/>
      <c r="Q1" s="518"/>
      <c r="R1" s="518"/>
      <c r="S1" s="518"/>
      <c r="T1" s="518"/>
      <c r="U1" s="519"/>
      <c r="V1" s="530" t="s">
        <v>399</v>
      </c>
      <c r="W1" s="531"/>
      <c r="X1" s="531"/>
      <c r="Y1" s="531"/>
      <c r="Z1" s="531"/>
      <c r="AA1" s="531"/>
      <c r="AB1" s="531"/>
      <c r="AC1" s="531"/>
      <c r="AD1" s="531"/>
      <c r="AE1" s="531"/>
      <c r="AF1" s="531"/>
      <c r="AG1" s="531"/>
      <c r="AH1" s="531"/>
      <c r="AI1" s="531"/>
      <c r="AJ1" s="531"/>
      <c r="AK1" s="523"/>
      <c r="AL1" s="524"/>
      <c r="AM1" s="524"/>
      <c r="AN1" s="524"/>
      <c r="AP1" s="517" t="s">
        <v>410</v>
      </c>
      <c r="AQ1" s="518"/>
      <c r="AR1" s="518"/>
      <c r="AS1" s="518"/>
      <c r="AT1" s="518"/>
      <c r="AU1" s="518"/>
      <c r="AV1" s="518"/>
      <c r="AW1" s="518"/>
      <c r="AX1" s="518"/>
      <c r="AY1" s="518"/>
      <c r="AZ1" s="518"/>
      <c r="BA1" s="518"/>
      <c r="BB1" s="518"/>
      <c r="BC1" s="518"/>
      <c r="BD1" s="518"/>
      <c r="BE1" s="519"/>
    </row>
    <row r="2" spans="1:57" s="232" customFormat="1" ht="26.25" thickBot="1">
      <c r="A2" s="532" t="s">
        <v>289</v>
      </c>
      <c r="B2" s="533"/>
      <c r="C2" s="534"/>
      <c r="D2" s="230" t="s">
        <v>310</v>
      </c>
      <c r="E2" s="191"/>
      <c r="F2" s="160"/>
      <c r="G2" s="234" t="s">
        <v>330</v>
      </c>
      <c r="H2" s="234" t="s">
        <v>331</v>
      </c>
      <c r="I2" s="234" t="s">
        <v>348</v>
      </c>
      <c r="J2" s="234" t="s">
        <v>334</v>
      </c>
      <c r="K2" s="234" t="s">
        <v>335</v>
      </c>
      <c r="L2" s="234" t="s">
        <v>336</v>
      </c>
      <c r="M2" s="234" t="s">
        <v>337</v>
      </c>
      <c r="N2" s="234" t="s">
        <v>338</v>
      </c>
      <c r="O2" s="234" t="s">
        <v>339</v>
      </c>
      <c r="P2" s="234" t="s">
        <v>342</v>
      </c>
      <c r="Q2" s="234" t="s">
        <v>343</v>
      </c>
      <c r="R2" s="234" t="s">
        <v>344</v>
      </c>
      <c r="S2" s="234"/>
      <c r="T2" s="266"/>
      <c r="V2" s="234" t="s">
        <v>300</v>
      </c>
      <c r="W2" s="234" t="s">
        <v>312</v>
      </c>
      <c r="X2" s="234" t="s">
        <v>353</v>
      </c>
      <c r="Y2" s="234" t="s">
        <v>313</v>
      </c>
      <c r="Z2" s="234" t="s">
        <v>322</v>
      </c>
      <c r="AA2" s="234" t="s">
        <v>321</v>
      </c>
      <c r="AB2" s="234" t="s">
        <v>320</v>
      </c>
      <c r="AC2" s="234" t="s">
        <v>319</v>
      </c>
      <c r="AD2" s="234" t="s">
        <v>318</v>
      </c>
      <c r="AE2" s="234" t="s">
        <v>317</v>
      </c>
      <c r="AF2" s="234" t="s">
        <v>301</v>
      </c>
      <c r="AG2" s="234" t="s">
        <v>316</v>
      </c>
      <c r="AH2" s="234" t="s">
        <v>315</v>
      </c>
      <c r="AI2" s="234" t="s">
        <v>314</v>
      </c>
      <c r="AK2" s="266"/>
      <c r="AL2" s="266"/>
      <c r="AM2" s="266"/>
      <c r="AP2" s="266"/>
      <c r="AQ2" s="266"/>
      <c r="AR2" s="266"/>
      <c r="AS2" s="266"/>
      <c r="AT2" s="266"/>
      <c r="AU2" s="266"/>
      <c r="AV2" s="266"/>
      <c r="AW2" s="266"/>
      <c r="AX2" s="266"/>
      <c r="AY2" s="266"/>
      <c r="AZ2" s="266"/>
      <c r="BA2" s="266"/>
      <c r="BB2" s="266"/>
      <c r="BC2" s="266"/>
      <c r="BD2" s="266"/>
    </row>
    <row r="3" spans="1:57" s="231" customFormat="1" ht="26.25" thickBot="1">
      <c r="A3" s="520" t="s">
        <v>290</v>
      </c>
      <c r="B3" s="521"/>
      <c r="C3" s="522"/>
      <c r="D3" s="233" t="s">
        <v>257</v>
      </c>
      <c r="E3" s="190"/>
      <c r="G3" s="234" t="s">
        <v>374</v>
      </c>
      <c r="H3" s="234" t="s">
        <v>322</v>
      </c>
      <c r="I3" s="234" t="s">
        <v>373</v>
      </c>
      <c r="J3" s="234" t="s">
        <v>336</v>
      </c>
      <c r="K3" s="234" t="s">
        <v>318</v>
      </c>
      <c r="L3" s="234" t="s">
        <v>353</v>
      </c>
      <c r="M3" s="234" t="s">
        <v>313</v>
      </c>
      <c r="N3" s="234" t="s">
        <v>321</v>
      </c>
      <c r="O3" s="234" t="s">
        <v>317</v>
      </c>
      <c r="P3" s="234" t="s">
        <v>300</v>
      </c>
      <c r="Q3" s="234" t="s">
        <v>315</v>
      </c>
      <c r="R3" s="234" t="s">
        <v>314</v>
      </c>
      <c r="S3" s="234" t="s">
        <v>345</v>
      </c>
      <c r="T3" s="234" t="s">
        <v>346</v>
      </c>
      <c r="AG3" s="234" t="s">
        <v>374</v>
      </c>
      <c r="AH3" s="234" t="s">
        <v>377</v>
      </c>
      <c r="AI3" s="234" t="s">
        <v>373</v>
      </c>
      <c r="AK3" s="234" t="s">
        <v>300</v>
      </c>
      <c r="AL3" s="234" t="s">
        <v>312</v>
      </c>
      <c r="AM3" s="234" t="s">
        <v>353</v>
      </c>
      <c r="AP3" s="234" t="s">
        <v>330</v>
      </c>
      <c r="AQ3" s="234" t="s">
        <v>331</v>
      </c>
      <c r="AR3" s="234" t="s">
        <v>348</v>
      </c>
      <c r="AS3" s="234" t="s">
        <v>333</v>
      </c>
      <c r="AT3" s="234" t="s">
        <v>334</v>
      </c>
      <c r="AU3" s="234" t="s">
        <v>335</v>
      </c>
      <c r="AV3" s="234" t="s">
        <v>336</v>
      </c>
      <c r="AW3" s="234" t="s">
        <v>337</v>
      </c>
      <c r="AX3" s="234" t="s">
        <v>338</v>
      </c>
      <c r="AY3" s="234" t="s">
        <v>339</v>
      </c>
      <c r="AZ3" s="234" t="s">
        <v>342</v>
      </c>
      <c r="BA3" s="234" t="s">
        <v>343</v>
      </c>
      <c r="BB3" s="234" t="s">
        <v>344</v>
      </c>
      <c r="BC3" s="234" t="s">
        <v>345</v>
      </c>
      <c r="BD3" s="234" t="s">
        <v>346</v>
      </c>
    </row>
    <row r="4" spans="1:57" s="231" customFormat="1" ht="117" customHeight="1" thickBot="1">
      <c r="A4" s="532" t="s">
        <v>239</v>
      </c>
      <c r="B4" s="533"/>
      <c r="C4" s="534"/>
      <c r="D4" s="353" t="s">
        <v>258</v>
      </c>
      <c r="E4" s="354"/>
      <c r="G4" s="234" t="s">
        <v>386</v>
      </c>
      <c r="H4" s="234" t="s">
        <v>353</v>
      </c>
      <c r="I4" s="234" t="s">
        <v>313</v>
      </c>
      <c r="J4" s="234" t="s">
        <v>387</v>
      </c>
      <c r="K4" s="234" t="s">
        <v>388</v>
      </c>
      <c r="L4" s="234" t="s">
        <v>389</v>
      </c>
      <c r="M4" s="234" t="s">
        <v>390</v>
      </c>
      <c r="N4" s="234" t="s">
        <v>391</v>
      </c>
      <c r="O4" s="234" t="s">
        <v>392</v>
      </c>
      <c r="P4" s="234" t="s">
        <v>393</v>
      </c>
      <c r="Q4" s="234" t="s">
        <v>394</v>
      </c>
      <c r="R4" s="234" t="s">
        <v>395</v>
      </c>
      <c r="S4" s="234" t="s">
        <v>396</v>
      </c>
      <c r="T4" s="234" t="s">
        <v>396</v>
      </c>
      <c r="V4" s="234" t="s">
        <v>397</v>
      </c>
      <c r="W4" s="234" t="s">
        <v>398</v>
      </c>
      <c r="X4" s="234" t="s">
        <v>400</v>
      </c>
      <c r="Y4" s="234" t="s">
        <v>401</v>
      </c>
      <c r="Z4" s="234" t="s">
        <v>401</v>
      </c>
      <c r="AA4" s="234" t="s">
        <v>402</v>
      </c>
      <c r="AB4" s="234" t="s">
        <v>403</v>
      </c>
      <c r="AC4" s="234" t="s">
        <v>404</v>
      </c>
      <c r="AD4" s="234" t="s">
        <v>405</v>
      </c>
      <c r="AE4" s="234" t="s">
        <v>406</v>
      </c>
      <c r="AF4" s="234" t="s">
        <v>397</v>
      </c>
      <c r="AG4" s="234" t="s">
        <v>407</v>
      </c>
      <c r="AH4" s="234" t="s">
        <v>408</v>
      </c>
      <c r="AI4" s="234" t="s">
        <v>409</v>
      </c>
      <c r="AK4" s="234" t="s">
        <v>329</v>
      </c>
      <c r="AL4" s="234" t="s">
        <v>332</v>
      </c>
      <c r="AM4" s="234" t="s">
        <v>347</v>
      </c>
      <c r="AP4" s="234" t="s">
        <v>386</v>
      </c>
      <c r="AQ4" s="234" t="s">
        <v>353</v>
      </c>
      <c r="AR4" s="234" t="s">
        <v>313</v>
      </c>
      <c r="AS4" s="234" t="s">
        <v>411</v>
      </c>
      <c r="AT4" s="234" t="s">
        <v>387</v>
      </c>
      <c r="AU4" s="234" t="s">
        <v>388</v>
      </c>
      <c r="AV4" s="234" t="s">
        <v>389</v>
      </c>
      <c r="AW4" s="234" t="s">
        <v>390</v>
      </c>
      <c r="AX4" s="234" t="s">
        <v>391</v>
      </c>
      <c r="AY4" s="234" t="s">
        <v>392</v>
      </c>
      <c r="AZ4" s="234" t="s">
        <v>393</v>
      </c>
      <c r="BA4" s="234" t="s">
        <v>394</v>
      </c>
      <c r="BB4" s="234" t="s">
        <v>395</v>
      </c>
      <c r="BC4" s="234" t="s">
        <v>396</v>
      </c>
      <c r="BD4" s="234" t="s">
        <v>396</v>
      </c>
    </row>
    <row r="5" spans="1:57" ht="25.5" customHeight="1">
      <c r="A5" s="525" t="s">
        <v>246</v>
      </c>
      <c r="B5" s="235" t="s">
        <v>178</v>
      </c>
      <c r="C5" s="83"/>
      <c r="D5" s="355">
        <v>3</v>
      </c>
      <c r="E5" s="83"/>
      <c r="F5" s="366"/>
      <c r="G5" s="356">
        <v>3</v>
      </c>
      <c r="H5" s="356">
        <v>3</v>
      </c>
      <c r="I5" s="356">
        <v>3</v>
      </c>
      <c r="J5" s="356">
        <v>3</v>
      </c>
      <c r="K5" s="356">
        <v>3</v>
      </c>
      <c r="L5" s="356">
        <v>3</v>
      </c>
      <c r="M5" s="356">
        <v>3</v>
      </c>
      <c r="N5" s="356">
        <v>3</v>
      </c>
      <c r="O5" s="356">
        <v>3</v>
      </c>
      <c r="P5" s="356">
        <v>1</v>
      </c>
      <c r="Q5" s="356">
        <v>3</v>
      </c>
      <c r="R5" s="356">
        <v>3</v>
      </c>
      <c r="S5" s="356">
        <v>3</v>
      </c>
      <c r="T5" s="357">
        <v>3</v>
      </c>
      <c r="U5" s="50"/>
      <c r="V5" s="356">
        <v>1</v>
      </c>
      <c r="W5" s="356">
        <v>1</v>
      </c>
      <c r="X5" s="356">
        <v>3</v>
      </c>
      <c r="Y5" s="356">
        <v>3</v>
      </c>
      <c r="Z5" s="356">
        <v>3</v>
      </c>
      <c r="AA5" s="356">
        <v>3</v>
      </c>
      <c r="AB5" s="356">
        <v>3</v>
      </c>
      <c r="AC5" s="356">
        <v>3</v>
      </c>
      <c r="AD5" s="356">
        <v>3</v>
      </c>
      <c r="AE5" s="356">
        <v>3</v>
      </c>
      <c r="AF5" s="356">
        <v>3</v>
      </c>
      <c r="AG5" s="356">
        <v>3</v>
      </c>
      <c r="AH5" s="356">
        <v>3</v>
      </c>
      <c r="AI5" s="357">
        <v>3</v>
      </c>
      <c r="AK5" s="38">
        <v>3</v>
      </c>
      <c r="AL5" s="38">
        <v>3</v>
      </c>
      <c r="AM5" s="38">
        <v>3</v>
      </c>
      <c r="AP5" s="38">
        <v>3</v>
      </c>
      <c r="AQ5" s="38">
        <v>3</v>
      </c>
      <c r="AR5" s="38">
        <v>3</v>
      </c>
      <c r="AS5" s="38">
        <v>3</v>
      </c>
      <c r="AT5" s="38">
        <v>3</v>
      </c>
      <c r="AU5" s="38">
        <v>3</v>
      </c>
      <c r="AV5" s="38">
        <v>3</v>
      </c>
      <c r="AW5" s="38">
        <v>3</v>
      </c>
      <c r="AX5" s="38">
        <v>3</v>
      </c>
      <c r="AY5" s="38">
        <v>3</v>
      </c>
      <c r="AZ5" s="38">
        <v>1</v>
      </c>
      <c r="BA5" s="38">
        <v>3</v>
      </c>
      <c r="BB5" s="38">
        <v>3</v>
      </c>
      <c r="BC5" s="38">
        <v>3</v>
      </c>
      <c r="BD5" s="38">
        <v>3</v>
      </c>
    </row>
    <row r="6" spans="1:57">
      <c r="A6" s="526"/>
      <c r="B6" s="236" t="s">
        <v>171</v>
      </c>
      <c r="C6" s="84"/>
      <c r="D6" s="358">
        <v>3</v>
      </c>
      <c r="E6" s="84"/>
      <c r="F6" s="367"/>
      <c r="G6" s="38">
        <v>3</v>
      </c>
      <c r="H6" s="38">
        <v>3</v>
      </c>
      <c r="I6" s="38">
        <v>3</v>
      </c>
      <c r="J6" s="38">
        <v>3</v>
      </c>
      <c r="K6" s="38">
        <v>3</v>
      </c>
      <c r="L6" s="38">
        <v>1</v>
      </c>
      <c r="M6" s="38">
        <v>2</v>
      </c>
      <c r="N6" s="38">
        <v>4</v>
      </c>
      <c r="O6" s="38">
        <v>1</v>
      </c>
      <c r="P6" s="38">
        <v>1</v>
      </c>
      <c r="Q6" s="38">
        <v>3</v>
      </c>
      <c r="R6" s="38">
        <v>3</v>
      </c>
      <c r="S6" s="38">
        <v>3</v>
      </c>
      <c r="T6" s="359">
        <v>3</v>
      </c>
      <c r="V6" s="38">
        <v>1</v>
      </c>
      <c r="W6" s="38">
        <v>3</v>
      </c>
      <c r="X6" s="38">
        <v>1</v>
      </c>
      <c r="Y6" s="38">
        <v>2</v>
      </c>
      <c r="Z6" s="38">
        <v>3</v>
      </c>
      <c r="AA6" s="38">
        <v>4</v>
      </c>
      <c r="AB6" s="38">
        <v>8</v>
      </c>
      <c r="AC6" s="38">
        <v>3</v>
      </c>
      <c r="AD6" s="38">
        <v>3</v>
      </c>
      <c r="AE6" s="38">
        <v>1</v>
      </c>
      <c r="AF6" s="38">
        <v>1</v>
      </c>
      <c r="AG6" s="38">
        <v>3</v>
      </c>
      <c r="AH6" s="38">
        <v>3</v>
      </c>
      <c r="AI6" s="359">
        <v>3</v>
      </c>
      <c r="AK6" s="38">
        <v>3</v>
      </c>
      <c r="AL6" s="38">
        <v>3</v>
      </c>
      <c r="AM6" s="38">
        <v>3</v>
      </c>
      <c r="AP6" s="38">
        <v>3</v>
      </c>
      <c r="AQ6" s="38">
        <v>3</v>
      </c>
      <c r="AR6" s="38">
        <v>3</v>
      </c>
      <c r="AS6" s="38">
        <v>3</v>
      </c>
      <c r="AT6" s="38">
        <v>3</v>
      </c>
      <c r="AU6" s="38">
        <v>3</v>
      </c>
      <c r="AV6" s="38">
        <v>1</v>
      </c>
      <c r="AW6" s="38">
        <v>2</v>
      </c>
      <c r="AX6" s="38">
        <v>4</v>
      </c>
      <c r="AY6" s="38">
        <v>1</v>
      </c>
      <c r="AZ6" s="38">
        <v>1</v>
      </c>
      <c r="BA6" s="38">
        <v>3</v>
      </c>
      <c r="BB6" s="38">
        <v>3</v>
      </c>
      <c r="BC6" s="38">
        <v>3</v>
      </c>
      <c r="BD6" s="38">
        <v>3</v>
      </c>
    </row>
    <row r="7" spans="1:57">
      <c r="A7" s="526"/>
      <c r="B7" s="236" t="s">
        <v>177</v>
      </c>
      <c r="C7" s="84"/>
      <c r="D7" s="358">
        <v>100</v>
      </c>
      <c r="E7" s="84"/>
      <c r="F7" s="367"/>
      <c r="G7" s="38">
        <v>100</v>
      </c>
      <c r="H7" s="38">
        <v>0</v>
      </c>
      <c r="I7" s="38">
        <v>0</v>
      </c>
      <c r="J7" s="38">
        <v>200</v>
      </c>
      <c r="K7" s="38">
        <v>300</v>
      </c>
      <c r="L7" s="38">
        <v>0</v>
      </c>
      <c r="M7" s="38">
        <v>0</v>
      </c>
      <c r="N7" s="38">
        <v>0</v>
      </c>
      <c r="O7" s="38">
        <v>0</v>
      </c>
      <c r="P7" s="38">
        <v>0</v>
      </c>
      <c r="Q7" s="38">
        <v>100</v>
      </c>
      <c r="R7" s="38">
        <v>100</v>
      </c>
      <c r="S7" s="38">
        <v>0</v>
      </c>
      <c r="T7" s="359">
        <v>0</v>
      </c>
      <c r="V7" s="38">
        <v>0</v>
      </c>
      <c r="W7" s="38">
        <v>0</v>
      </c>
      <c r="X7" s="38">
        <v>0</v>
      </c>
      <c r="Y7" s="38">
        <v>0</v>
      </c>
      <c r="Z7" s="38">
        <v>0</v>
      </c>
      <c r="AA7" s="38">
        <v>0</v>
      </c>
      <c r="AB7" s="38">
        <v>0</v>
      </c>
      <c r="AC7" s="38">
        <v>200</v>
      </c>
      <c r="AD7" s="38">
        <v>300</v>
      </c>
      <c r="AE7" s="38">
        <v>0</v>
      </c>
      <c r="AF7" s="38">
        <v>0</v>
      </c>
      <c r="AG7" s="38">
        <v>100</v>
      </c>
      <c r="AH7" s="38">
        <v>100</v>
      </c>
      <c r="AI7" s="359">
        <v>0</v>
      </c>
      <c r="AK7" s="38">
        <v>100</v>
      </c>
      <c r="AL7" s="38">
        <v>0</v>
      </c>
      <c r="AM7" s="38">
        <v>0</v>
      </c>
      <c r="AP7" s="38">
        <v>100</v>
      </c>
      <c r="AQ7" s="38">
        <v>0</v>
      </c>
      <c r="AR7" s="38">
        <v>0</v>
      </c>
      <c r="AS7" s="38">
        <v>50</v>
      </c>
      <c r="AT7" s="38">
        <v>200</v>
      </c>
      <c r="AU7" s="38">
        <v>300</v>
      </c>
      <c r="AV7" s="38">
        <v>0</v>
      </c>
      <c r="AW7" s="38">
        <v>0</v>
      </c>
      <c r="AX7" s="38">
        <v>0</v>
      </c>
      <c r="AY7" s="38">
        <v>0</v>
      </c>
      <c r="AZ7" s="38">
        <v>0</v>
      </c>
      <c r="BA7" s="38">
        <v>100</v>
      </c>
      <c r="BB7" s="38">
        <v>100</v>
      </c>
      <c r="BC7" s="38">
        <v>0</v>
      </c>
      <c r="BD7" s="38">
        <v>0</v>
      </c>
    </row>
    <row r="8" spans="1:57">
      <c r="A8" s="526"/>
      <c r="B8" s="236" t="s">
        <v>175</v>
      </c>
      <c r="C8" s="84"/>
      <c r="D8" s="358">
        <v>1</v>
      </c>
      <c r="E8" s="84"/>
      <c r="F8" s="367"/>
      <c r="G8" s="38">
        <v>1</v>
      </c>
      <c r="H8" s="38">
        <v>1</v>
      </c>
      <c r="I8" s="38">
        <v>1</v>
      </c>
      <c r="J8" s="38">
        <v>1</v>
      </c>
      <c r="K8" s="38">
        <v>1</v>
      </c>
      <c r="L8" s="38">
        <v>1</v>
      </c>
      <c r="M8" s="38">
        <v>1</v>
      </c>
      <c r="N8" s="38">
        <v>1</v>
      </c>
      <c r="O8" s="38">
        <v>2</v>
      </c>
      <c r="P8" s="38">
        <v>1</v>
      </c>
      <c r="Q8" s="38">
        <v>1</v>
      </c>
      <c r="R8" s="38">
        <v>1</v>
      </c>
      <c r="S8" s="38">
        <v>1</v>
      </c>
      <c r="T8" s="359">
        <v>1</v>
      </c>
      <c r="V8" s="38">
        <v>1</v>
      </c>
      <c r="W8" s="38">
        <v>1</v>
      </c>
      <c r="X8" s="38">
        <v>1</v>
      </c>
      <c r="Y8" s="38">
        <v>1</v>
      </c>
      <c r="Z8" s="38">
        <v>1</v>
      </c>
      <c r="AA8" s="38">
        <v>1</v>
      </c>
      <c r="AB8" s="38">
        <v>1</v>
      </c>
      <c r="AC8" s="38">
        <v>1</v>
      </c>
      <c r="AD8" s="38">
        <v>1</v>
      </c>
      <c r="AE8" s="38">
        <v>4</v>
      </c>
      <c r="AF8" s="38">
        <v>1</v>
      </c>
      <c r="AG8" s="38">
        <v>1</v>
      </c>
      <c r="AH8" s="38">
        <v>1</v>
      </c>
      <c r="AI8" s="359">
        <v>1</v>
      </c>
      <c r="AK8" s="38">
        <v>1</v>
      </c>
      <c r="AL8" s="38">
        <v>1</v>
      </c>
      <c r="AM8" s="38">
        <v>1</v>
      </c>
      <c r="AP8" s="38">
        <v>1</v>
      </c>
      <c r="AQ8" s="38">
        <v>1</v>
      </c>
      <c r="AR8" s="38">
        <v>1</v>
      </c>
      <c r="AS8" s="38">
        <v>1</v>
      </c>
      <c r="AT8" s="38">
        <v>1</v>
      </c>
      <c r="AU8" s="38">
        <v>1</v>
      </c>
      <c r="AV8" s="38">
        <v>1</v>
      </c>
      <c r="AW8" s="38">
        <v>1</v>
      </c>
      <c r="AX8" s="38">
        <v>1</v>
      </c>
      <c r="AY8" s="38">
        <v>2</v>
      </c>
      <c r="AZ8" s="38">
        <v>1</v>
      </c>
      <c r="BA8" s="38">
        <v>1</v>
      </c>
      <c r="BB8" s="38">
        <v>1</v>
      </c>
      <c r="BC8" s="38">
        <v>1</v>
      </c>
      <c r="BD8" s="38">
        <v>1</v>
      </c>
    </row>
    <row r="9" spans="1:57">
      <c r="A9" s="526"/>
      <c r="B9" s="236" t="s">
        <v>179</v>
      </c>
      <c r="C9" s="84"/>
      <c r="D9" s="358">
        <v>1</v>
      </c>
      <c r="E9" s="84"/>
      <c r="F9" s="367"/>
      <c r="G9" s="38">
        <v>1</v>
      </c>
      <c r="H9" s="38">
        <v>1</v>
      </c>
      <c r="I9" s="38">
        <v>1</v>
      </c>
      <c r="J9" s="38">
        <v>1</v>
      </c>
      <c r="K9" s="38">
        <v>1</v>
      </c>
      <c r="L9" s="38">
        <v>1</v>
      </c>
      <c r="M9" s="38">
        <v>1</v>
      </c>
      <c r="N9" s="38">
        <v>1</v>
      </c>
      <c r="O9" s="38">
        <v>1</v>
      </c>
      <c r="P9" s="38">
        <v>1</v>
      </c>
      <c r="Q9" s="38">
        <v>1</v>
      </c>
      <c r="R9" s="38">
        <v>1</v>
      </c>
      <c r="S9" s="38">
        <v>1</v>
      </c>
      <c r="T9" s="359">
        <v>1</v>
      </c>
      <c r="V9" s="38">
        <v>1</v>
      </c>
      <c r="W9" s="38">
        <v>1</v>
      </c>
      <c r="X9" s="38">
        <v>1</v>
      </c>
      <c r="Y9" s="38">
        <v>1</v>
      </c>
      <c r="Z9" s="38">
        <v>1</v>
      </c>
      <c r="AA9" s="38">
        <v>1</v>
      </c>
      <c r="AB9" s="38">
        <v>1</v>
      </c>
      <c r="AC9" s="254">
        <v>1</v>
      </c>
      <c r="AD9" s="254">
        <v>1</v>
      </c>
      <c r="AE9" s="38">
        <v>1</v>
      </c>
      <c r="AF9" s="38">
        <v>1</v>
      </c>
      <c r="AG9" s="38">
        <v>1</v>
      </c>
      <c r="AH9" s="38">
        <v>1</v>
      </c>
      <c r="AI9" s="359">
        <v>1</v>
      </c>
      <c r="AK9" s="38">
        <v>1</v>
      </c>
      <c r="AL9" s="38">
        <v>1</v>
      </c>
      <c r="AM9" s="38">
        <v>1</v>
      </c>
      <c r="AP9" s="38">
        <v>1</v>
      </c>
      <c r="AQ9" s="38">
        <v>1</v>
      </c>
      <c r="AR9" s="38">
        <v>1</v>
      </c>
      <c r="AS9" s="38">
        <v>1</v>
      </c>
      <c r="AT9" s="38">
        <v>1</v>
      </c>
      <c r="AU9" s="38">
        <v>1</v>
      </c>
      <c r="AV9" s="38">
        <v>1</v>
      </c>
      <c r="AW9" s="38">
        <v>1</v>
      </c>
      <c r="AX9" s="38">
        <v>1</v>
      </c>
      <c r="AY9" s="38">
        <v>1</v>
      </c>
      <c r="AZ9" s="38">
        <v>1</v>
      </c>
      <c r="BA9" s="38">
        <v>1</v>
      </c>
      <c r="BB9" s="38">
        <v>1</v>
      </c>
      <c r="BC9" s="38">
        <v>1</v>
      </c>
      <c r="BD9" s="38">
        <v>1</v>
      </c>
    </row>
    <row r="10" spans="1:57" ht="25.5">
      <c r="A10" s="526"/>
      <c r="B10" s="236" t="s">
        <v>180</v>
      </c>
      <c r="C10" s="84"/>
      <c r="D10" s="360">
        <v>26370</v>
      </c>
      <c r="E10" s="364"/>
      <c r="F10" s="367"/>
      <c r="G10">
        <v>26370</v>
      </c>
      <c r="H10">
        <v>26370</v>
      </c>
      <c r="I10">
        <v>26370</v>
      </c>
      <c r="J10">
        <v>26370</v>
      </c>
      <c r="K10">
        <v>26370</v>
      </c>
      <c r="L10">
        <v>26370</v>
      </c>
      <c r="M10">
        <v>26370</v>
      </c>
      <c r="N10">
        <v>26370</v>
      </c>
      <c r="O10">
        <v>26370</v>
      </c>
      <c r="P10">
        <v>26370</v>
      </c>
      <c r="Q10">
        <v>26370</v>
      </c>
      <c r="R10">
        <v>26370</v>
      </c>
      <c r="S10">
        <v>26370</v>
      </c>
      <c r="T10" s="40">
        <v>26370</v>
      </c>
      <c r="V10">
        <v>26370</v>
      </c>
      <c r="W10">
        <v>26370</v>
      </c>
      <c r="X10">
        <v>26370</v>
      </c>
      <c r="Y10">
        <v>26370</v>
      </c>
      <c r="Z10">
        <v>26370</v>
      </c>
      <c r="AA10">
        <v>26370</v>
      </c>
      <c r="AB10">
        <v>26370</v>
      </c>
      <c r="AC10">
        <v>26370</v>
      </c>
      <c r="AD10">
        <v>26370</v>
      </c>
      <c r="AE10">
        <v>26370</v>
      </c>
      <c r="AF10">
        <v>26370</v>
      </c>
      <c r="AG10">
        <v>26370</v>
      </c>
      <c r="AH10">
        <v>26370</v>
      </c>
      <c r="AI10" s="40">
        <v>26370</v>
      </c>
      <c r="AK10">
        <v>26370</v>
      </c>
      <c r="AL10">
        <v>26370</v>
      </c>
      <c r="AM10">
        <v>26370</v>
      </c>
      <c r="AP10">
        <v>26370</v>
      </c>
      <c r="AQ10">
        <v>26370</v>
      </c>
      <c r="AR10">
        <v>26370</v>
      </c>
      <c r="AS10">
        <v>26370</v>
      </c>
      <c r="AT10">
        <v>26370</v>
      </c>
      <c r="AU10">
        <v>26370</v>
      </c>
      <c r="AV10">
        <v>26370</v>
      </c>
      <c r="AW10">
        <v>26370</v>
      </c>
      <c r="AX10">
        <v>26370</v>
      </c>
      <c r="AY10">
        <v>26370</v>
      </c>
      <c r="AZ10">
        <v>26370</v>
      </c>
      <c r="BA10">
        <v>26370</v>
      </c>
      <c r="BB10">
        <v>26370</v>
      </c>
      <c r="BC10">
        <v>26370</v>
      </c>
      <c r="BD10">
        <v>26370</v>
      </c>
    </row>
    <row r="11" spans="1:57" ht="25.5">
      <c r="A11" s="535"/>
      <c r="B11" s="237" t="s">
        <v>185</v>
      </c>
      <c r="C11" s="84"/>
      <c r="D11" s="360">
        <v>10000</v>
      </c>
      <c r="E11" s="364"/>
      <c r="F11" s="367"/>
      <c r="G11">
        <v>10000</v>
      </c>
      <c r="H11">
        <v>10000</v>
      </c>
      <c r="I11">
        <v>10000</v>
      </c>
      <c r="J11">
        <v>10000</v>
      </c>
      <c r="K11">
        <v>10000</v>
      </c>
      <c r="L11">
        <v>10000</v>
      </c>
      <c r="M11">
        <v>10000</v>
      </c>
      <c r="N11">
        <v>10000</v>
      </c>
      <c r="O11">
        <v>10000</v>
      </c>
      <c r="P11">
        <v>10000</v>
      </c>
      <c r="Q11">
        <v>10000</v>
      </c>
      <c r="R11">
        <v>10000</v>
      </c>
      <c r="S11">
        <v>10000</v>
      </c>
      <c r="T11" s="40">
        <v>10000</v>
      </c>
      <c r="V11">
        <v>10000</v>
      </c>
      <c r="W11">
        <v>10000</v>
      </c>
      <c r="X11">
        <v>10000</v>
      </c>
      <c r="Y11">
        <v>10000</v>
      </c>
      <c r="Z11">
        <v>10000</v>
      </c>
      <c r="AA11">
        <v>10000</v>
      </c>
      <c r="AB11">
        <v>10000</v>
      </c>
      <c r="AC11">
        <v>10000</v>
      </c>
      <c r="AD11">
        <v>10000</v>
      </c>
      <c r="AE11">
        <v>10000</v>
      </c>
      <c r="AF11">
        <v>10000</v>
      </c>
      <c r="AG11">
        <v>10000</v>
      </c>
      <c r="AH11">
        <v>10000</v>
      </c>
      <c r="AI11" s="40">
        <v>10000</v>
      </c>
      <c r="AK11">
        <v>10000</v>
      </c>
      <c r="AL11">
        <v>10000</v>
      </c>
      <c r="AM11">
        <v>10000</v>
      </c>
      <c r="AP11">
        <v>10000</v>
      </c>
      <c r="AQ11">
        <v>10000</v>
      </c>
      <c r="AR11">
        <v>10000</v>
      </c>
      <c r="AS11">
        <v>10000</v>
      </c>
      <c r="AT11">
        <v>10000</v>
      </c>
      <c r="AU11">
        <v>10000</v>
      </c>
      <c r="AV11">
        <v>10000</v>
      </c>
      <c r="AW11">
        <v>10000</v>
      </c>
      <c r="AX11">
        <v>10000</v>
      </c>
      <c r="AY11">
        <v>10000</v>
      </c>
      <c r="AZ11">
        <v>10000</v>
      </c>
      <c r="BA11">
        <v>10000</v>
      </c>
      <c r="BB11">
        <v>10000</v>
      </c>
      <c r="BC11">
        <v>10000</v>
      </c>
      <c r="BD11">
        <v>10000</v>
      </c>
    </row>
    <row r="12" spans="1:57" ht="13.5" thickBot="1">
      <c r="A12" s="278"/>
      <c r="B12" s="279" t="s">
        <v>352</v>
      </c>
      <c r="C12" s="280"/>
      <c r="D12" s="361"/>
      <c r="E12" s="365"/>
      <c r="F12" s="368"/>
      <c r="G12" s="43">
        <v>27489</v>
      </c>
      <c r="H12" s="43">
        <v>27489</v>
      </c>
      <c r="I12" s="43">
        <v>27489</v>
      </c>
      <c r="J12" s="43">
        <v>27489</v>
      </c>
      <c r="K12" s="43">
        <v>27489</v>
      </c>
      <c r="L12" s="43">
        <v>27489</v>
      </c>
      <c r="M12" s="43">
        <v>27489</v>
      </c>
      <c r="N12" s="43">
        <v>27489</v>
      </c>
      <c r="O12" s="43">
        <v>27489</v>
      </c>
      <c r="P12" s="43">
        <v>27489</v>
      </c>
      <c r="Q12" s="43">
        <v>27489</v>
      </c>
      <c r="R12" s="43">
        <v>27489</v>
      </c>
      <c r="S12" s="43">
        <v>27489</v>
      </c>
      <c r="T12" s="46">
        <v>27489</v>
      </c>
      <c r="U12" s="43"/>
      <c r="V12" s="43"/>
      <c r="W12" s="43"/>
      <c r="X12" s="43"/>
      <c r="Y12" s="43"/>
      <c r="Z12" s="43"/>
      <c r="AA12" s="43"/>
      <c r="AB12" s="43"/>
      <c r="AC12" s="43"/>
      <c r="AD12" s="43"/>
      <c r="AE12" s="43"/>
      <c r="AF12" s="43"/>
      <c r="AG12" s="43"/>
      <c r="AH12" s="43"/>
      <c r="AI12" s="46"/>
      <c r="AP12">
        <v>27489</v>
      </c>
      <c r="AQ12">
        <v>27489</v>
      </c>
      <c r="AR12">
        <v>27489</v>
      </c>
      <c r="AS12">
        <v>27489</v>
      </c>
      <c r="AT12">
        <v>27489</v>
      </c>
      <c r="AU12">
        <v>27489</v>
      </c>
      <c r="AV12">
        <v>27489</v>
      </c>
      <c r="AW12">
        <v>27489</v>
      </c>
      <c r="AX12">
        <v>27489</v>
      </c>
      <c r="AY12">
        <v>27489</v>
      </c>
      <c r="AZ12">
        <v>27489</v>
      </c>
      <c r="BA12">
        <v>27489</v>
      </c>
      <c r="BB12">
        <v>27489</v>
      </c>
      <c r="BC12">
        <v>27489</v>
      </c>
      <c r="BD12">
        <v>27489</v>
      </c>
    </row>
    <row r="13" spans="1:57">
      <c r="A13" s="525" t="s">
        <v>247</v>
      </c>
      <c r="B13" s="235" t="s">
        <v>212</v>
      </c>
      <c r="C13" s="83"/>
      <c r="D13" s="92">
        <v>169308</v>
      </c>
      <c r="E13" s="90"/>
      <c r="F13" s="366"/>
      <c r="G13" s="50">
        <v>154320</v>
      </c>
      <c r="H13" s="50">
        <v>189040</v>
      </c>
      <c r="I13" s="50">
        <v>166804</v>
      </c>
      <c r="J13" s="50">
        <v>150880</v>
      </c>
      <c r="K13" s="50">
        <v>154920</v>
      </c>
      <c r="L13" s="50">
        <v>157948</v>
      </c>
      <c r="M13" s="50">
        <v>159184</v>
      </c>
      <c r="N13" s="50">
        <v>178812</v>
      </c>
      <c r="O13" s="50">
        <v>152844</v>
      </c>
      <c r="P13" s="50">
        <v>152940</v>
      </c>
      <c r="Q13" s="50">
        <v>154320</v>
      </c>
      <c r="R13" s="50">
        <v>164880</v>
      </c>
      <c r="S13" s="50"/>
      <c r="T13" s="50"/>
      <c r="U13" s="50"/>
      <c r="V13" s="50">
        <v>144536</v>
      </c>
      <c r="W13" s="50">
        <v>147008</v>
      </c>
      <c r="X13" s="50">
        <v>156388</v>
      </c>
      <c r="Y13" s="50">
        <v>159784</v>
      </c>
      <c r="Z13" s="50">
        <v>169764</v>
      </c>
      <c r="AA13" s="50">
        <v>170732</v>
      </c>
      <c r="AB13" s="50">
        <v>178960</v>
      </c>
      <c r="AC13" s="50">
        <v>170744</v>
      </c>
      <c r="AD13" s="50">
        <v>149060</v>
      </c>
      <c r="AE13" s="50"/>
      <c r="AF13" s="50">
        <v>166640</v>
      </c>
      <c r="AG13" s="50">
        <v>169768</v>
      </c>
      <c r="AH13" s="50">
        <v>147024</v>
      </c>
      <c r="AI13" s="51">
        <v>167944</v>
      </c>
      <c r="AK13" s="38">
        <v>194052</v>
      </c>
      <c r="AP13" s="38">
        <v>170720</v>
      </c>
      <c r="AQ13">
        <v>171344</v>
      </c>
      <c r="AR13">
        <v>170968</v>
      </c>
      <c r="AS13">
        <v>170984</v>
      </c>
      <c r="AT13">
        <v>170848</v>
      </c>
      <c r="AU13">
        <v>171140</v>
      </c>
      <c r="AV13">
        <v>168292</v>
      </c>
      <c r="AW13">
        <v>169300</v>
      </c>
      <c r="AX13">
        <v>172576</v>
      </c>
      <c r="AY13">
        <v>168272</v>
      </c>
      <c r="AZ13">
        <v>161348</v>
      </c>
      <c r="BA13">
        <v>170752</v>
      </c>
      <c r="BB13">
        <v>171272</v>
      </c>
    </row>
    <row r="14" spans="1:57">
      <c r="A14" s="526"/>
      <c r="B14" s="236" t="s">
        <v>248</v>
      </c>
      <c r="C14" s="84"/>
      <c r="D14" s="82"/>
      <c r="E14" s="84"/>
      <c r="F14" s="367"/>
      <c r="G14">
        <v>1209084</v>
      </c>
      <c r="H14">
        <v>1239240</v>
      </c>
      <c r="I14">
        <v>1177332</v>
      </c>
      <c r="J14">
        <v>1174248</v>
      </c>
      <c r="K14">
        <v>1238384</v>
      </c>
      <c r="L14">
        <v>558028</v>
      </c>
      <c r="M14">
        <v>832340</v>
      </c>
      <c r="N14">
        <v>1479620</v>
      </c>
      <c r="O14">
        <v>525460</v>
      </c>
      <c r="P14">
        <v>509468</v>
      </c>
      <c r="Q14">
        <v>1209084</v>
      </c>
      <c r="R14">
        <v>1155304</v>
      </c>
      <c r="V14">
        <v>517160</v>
      </c>
      <c r="W14">
        <v>1166800</v>
      </c>
      <c r="X14">
        <v>593768</v>
      </c>
      <c r="Y14">
        <v>831560</v>
      </c>
      <c r="Z14">
        <v>1172188</v>
      </c>
      <c r="AA14">
        <v>1490724</v>
      </c>
      <c r="AB14">
        <v>2805868</v>
      </c>
      <c r="AC14">
        <v>1175556</v>
      </c>
      <c r="AD14">
        <v>1177092</v>
      </c>
      <c r="AF14">
        <v>606124</v>
      </c>
      <c r="AG14">
        <v>1189356</v>
      </c>
      <c r="AH14">
        <v>1169552</v>
      </c>
      <c r="AI14" s="40">
        <v>1183412</v>
      </c>
      <c r="AK14" s="38">
        <v>1439324</v>
      </c>
      <c r="AP14" s="38">
        <v>1416228</v>
      </c>
      <c r="AQ14">
        <v>1429196</v>
      </c>
      <c r="AR14">
        <v>1417036</v>
      </c>
      <c r="AS14">
        <v>1413700</v>
      </c>
      <c r="AT14">
        <v>1426952</v>
      </c>
      <c r="AU14">
        <v>1413724</v>
      </c>
      <c r="AV14">
        <v>736468</v>
      </c>
      <c r="AW14">
        <v>1023808</v>
      </c>
      <c r="AX14">
        <v>1810480</v>
      </c>
      <c r="AY14">
        <v>734220</v>
      </c>
      <c r="AZ14">
        <v>611896</v>
      </c>
      <c r="BA14">
        <v>1415840</v>
      </c>
      <c r="BB14">
        <v>1410256</v>
      </c>
    </row>
    <row r="15" spans="1:57" ht="34.5" customHeight="1">
      <c r="A15" s="526"/>
      <c r="B15" s="236" t="s">
        <v>181</v>
      </c>
      <c r="C15" s="84"/>
      <c r="D15" s="82">
        <v>491991</v>
      </c>
      <c r="E15" s="84"/>
      <c r="F15" s="367"/>
      <c r="G15">
        <v>521084</v>
      </c>
      <c r="H15">
        <v>547028</v>
      </c>
      <c r="I15">
        <v>518796</v>
      </c>
      <c r="J15">
        <v>517096</v>
      </c>
      <c r="K15">
        <v>532716</v>
      </c>
      <c r="L15">
        <v>288248</v>
      </c>
      <c r="M15">
        <v>395820</v>
      </c>
      <c r="N15">
        <v>620340</v>
      </c>
      <c r="O15">
        <v>302952</v>
      </c>
      <c r="P15">
        <v>286204</v>
      </c>
      <c r="Q15">
        <v>521084</v>
      </c>
      <c r="R15">
        <v>516900</v>
      </c>
      <c r="S15" s="38"/>
      <c r="T15" s="38"/>
      <c r="V15">
        <v>291916</v>
      </c>
      <c r="W15">
        <v>515716</v>
      </c>
      <c r="X15">
        <v>292824</v>
      </c>
      <c r="Y15">
        <v>408060</v>
      </c>
      <c r="Z15">
        <v>515672</v>
      </c>
      <c r="AA15">
        <v>631728</v>
      </c>
      <c r="AB15">
        <v>1085188</v>
      </c>
      <c r="AC15">
        <v>521016</v>
      </c>
      <c r="AD15">
        <v>524304</v>
      </c>
      <c r="AF15">
        <v>296920</v>
      </c>
      <c r="AG15">
        <v>517376</v>
      </c>
      <c r="AH15">
        <v>519812</v>
      </c>
      <c r="AI15" s="40">
        <v>511376</v>
      </c>
      <c r="AK15" s="38"/>
      <c r="AL15" s="38"/>
      <c r="AM15" s="38"/>
      <c r="AP15" s="38">
        <v>517792</v>
      </c>
      <c r="AQ15" s="38">
        <v>517920</v>
      </c>
      <c r="AR15" s="38">
        <v>517916</v>
      </c>
      <c r="AS15" s="38">
        <v>517952</v>
      </c>
      <c r="AT15" s="38">
        <v>517592</v>
      </c>
      <c r="AU15" s="38">
        <v>517620</v>
      </c>
      <c r="AV15" s="38">
        <v>293708</v>
      </c>
      <c r="AW15" s="38">
        <v>405848</v>
      </c>
      <c r="AX15" s="38">
        <v>629480</v>
      </c>
      <c r="AY15" s="38">
        <v>294068</v>
      </c>
      <c r="AZ15" s="38">
        <v>283184</v>
      </c>
      <c r="BA15" s="38">
        <v>517248</v>
      </c>
      <c r="BB15" s="38">
        <v>517776</v>
      </c>
      <c r="BC15" s="38"/>
      <c r="BD15" s="38"/>
    </row>
    <row r="16" spans="1:57" ht="25.5">
      <c r="A16" s="526"/>
      <c r="B16" s="236" t="s">
        <v>182</v>
      </c>
      <c r="C16" s="84"/>
      <c r="D16" s="82">
        <v>1140967</v>
      </c>
      <c r="E16" s="84"/>
      <c r="F16" s="367"/>
      <c r="G16">
        <v>1159260</v>
      </c>
      <c r="H16">
        <v>1206272</v>
      </c>
      <c r="I16">
        <v>1172560</v>
      </c>
      <c r="J16">
        <v>1167428</v>
      </c>
      <c r="K16">
        <v>1183436</v>
      </c>
      <c r="L16">
        <v>508940</v>
      </c>
      <c r="M16">
        <v>831132</v>
      </c>
      <c r="N16">
        <v>1475496</v>
      </c>
      <c r="O16">
        <v>524092</v>
      </c>
      <c r="P16">
        <v>506860</v>
      </c>
      <c r="Q16">
        <v>1159260</v>
      </c>
      <c r="R16">
        <v>1147416</v>
      </c>
      <c r="S16" s="38"/>
      <c r="T16" s="38"/>
      <c r="V16">
        <v>514704</v>
      </c>
      <c r="W16">
        <v>1165632</v>
      </c>
      <c r="X16">
        <v>519016</v>
      </c>
      <c r="Y16">
        <v>829500</v>
      </c>
      <c r="Z16">
        <v>1169444</v>
      </c>
      <c r="AA16">
        <v>1485884</v>
      </c>
      <c r="AB16">
        <v>2805204</v>
      </c>
      <c r="AC16">
        <v>1174712</v>
      </c>
      <c r="AD16">
        <v>1174908</v>
      </c>
      <c r="AF16">
        <v>520692</v>
      </c>
      <c r="AG16">
        <v>1175656</v>
      </c>
      <c r="AH16">
        <v>1166900</v>
      </c>
      <c r="AI16" s="40">
        <v>1172368</v>
      </c>
      <c r="AK16" s="38"/>
      <c r="AL16" s="38"/>
      <c r="AM16" s="38"/>
      <c r="AP16" s="38">
        <v>1395940</v>
      </c>
      <c r="AQ16" s="38">
        <v>1405516</v>
      </c>
      <c r="AR16" s="38">
        <v>1389124</v>
      </c>
      <c r="AS16" s="38">
        <v>1393368</v>
      </c>
      <c r="AT16" s="38">
        <v>1401244</v>
      </c>
      <c r="AU16" s="38">
        <v>1405996</v>
      </c>
      <c r="AV16" s="38">
        <v>594732</v>
      </c>
      <c r="AW16" s="38">
        <v>1468740</v>
      </c>
      <c r="AX16" s="38">
        <v>1782848</v>
      </c>
      <c r="AY16" s="38">
        <v>593808</v>
      </c>
      <c r="AZ16" s="38">
        <v>583472</v>
      </c>
      <c r="BA16" s="38">
        <v>1396636</v>
      </c>
      <c r="BB16" s="38">
        <v>1390368</v>
      </c>
      <c r="BC16" s="38"/>
      <c r="BD16" s="38"/>
    </row>
    <row r="17" spans="1:56" ht="38.25">
      <c r="A17" s="526"/>
      <c r="B17" s="236" t="s">
        <v>183</v>
      </c>
      <c r="C17" s="84"/>
      <c r="D17" s="85">
        <v>1.5</v>
      </c>
      <c r="E17" s="369"/>
      <c r="F17" s="367"/>
      <c r="G17" s="164">
        <v>1.4</v>
      </c>
      <c r="H17" s="164">
        <v>1.8</v>
      </c>
      <c r="I17" s="164">
        <v>1.77</v>
      </c>
      <c r="J17" s="164">
        <v>1.4</v>
      </c>
      <c r="K17" s="164">
        <v>1.4</v>
      </c>
      <c r="L17" s="164">
        <v>1.2</v>
      </c>
      <c r="M17" s="164">
        <v>1.6</v>
      </c>
      <c r="N17" s="164">
        <v>1.8</v>
      </c>
      <c r="O17" s="164">
        <v>1</v>
      </c>
      <c r="P17" s="164">
        <v>1.1000000000000001</v>
      </c>
      <c r="Q17" s="164">
        <v>1.4</v>
      </c>
      <c r="R17" s="164">
        <v>1.2</v>
      </c>
      <c r="S17" s="192"/>
      <c r="T17" s="192"/>
      <c r="V17" s="164">
        <v>1.1599999999999999</v>
      </c>
      <c r="W17" s="164">
        <v>2.0299999999999998</v>
      </c>
      <c r="X17" s="164">
        <v>1.17</v>
      </c>
      <c r="Y17" s="164">
        <v>1.87</v>
      </c>
      <c r="Z17" s="164">
        <v>2</v>
      </c>
      <c r="AA17" s="164">
        <v>2.0099999999999998</v>
      </c>
      <c r="AB17" s="164">
        <v>2.2400000000000002</v>
      </c>
      <c r="AC17" s="164">
        <v>1.96</v>
      </c>
      <c r="AD17" s="164">
        <v>1.97</v>
      </c>
      <c r="AE17" s="164"/>
      <c r="AF17" s="164">
        <v>1.23</v>
      </c>
      <c r="AG17" s="164">
        <v>1.94</v>
      </c>
      <c r="AH17" s="164">
        <v>1.89</v>
      </c>
      <c r="AI17" s="376">
        <v>1.99</v>
      </c>
      <c r="AK17" s="192"/>
      <c r="AL17" s="192"/>
      <c r="AM17" s="192"/>
      <c r="AP17" s="192">
        <v>2</v>
      </c>
      <c r="AQ17" s="192">
        <v>2.1</v>
      </c>
      <c r="AR17" s="192">
        <v>2.1</v>
      </c>
      <c r="AS17" s="192">
        <v>1.7</v>
      </c>
      <c r="AT17" s="192">
        <v>2</v>
      </c>
      <c r="AU17" s="192">
        <v>2</v>
      </c>
      <c r="AV17" s="192">
        <v>1.2</v>
      </c>
      <c r="AW17" s="192">
        <v>1.9</v>
      </c>
      <c r="AX17" s="192">
        <v>2.2000000000000002</v>
      </c>
      <c r="AY17" s="192">
        <v>1.1000000000000001</v>
      </c>
      <c r="AZ17" s="192">
        <v>1.2</v>
      </c>
      <c r="BA17" s="192">
        <v>2</v>
      </c>
      <c r="BB17" s="192">
        <v>2</v>
      </c>
      <c r="BC17" s="192"/>
      <c r="BD17" s="192"/>
    </row>
    <row r="18" spans="1:56" ht="38.25">
      <c r="A18" s="526"/>
      <c r="B18" s="236" t="s">
        <v>249</v>
      </c>
      <c r="C18" s="84"/>
      <c r="D18" s="86">
        <v>858</v>
      </c>
      <c r="E18" s="370"/>
      <c r="F18" s="367"/>
      <c r="G18">
        <v>1266</v>
      </c>
      <c r="H18">
        <v>1056</v>
      </c>
      <c r="I18">
        <v>1068</v>
      </c>
      <c r="J18">
        <v>1906</v>
      </c>
      <c r="K18">
        <v>2530</v>
      </c>
      <c r="L18">
        <v>587</v>
      </c>
      <c r="M18">
        <v>770</v>
      </c>
      <c r="N18">
        <v>1466</v>
      </c>
      <c r="O18">
        <v>587</v>
      </c>
      <c r="P18">
        <v>599</v>
      </c>
      <c r="Q18">
        <v>1266</v>
      </c>
      <c r="R18">
        <v>1265</v>
      </c>
      <c r="V18">
        <v>499</v>
      </c>
      <c r="W18">
        <v>936</v>
      </c>
      <c r="X18">
        <v>567</v>
      </c>
      <c r="Y18">
        <v>1305</v>
      </c>
      <c r="Z18">
        <v>826</v>
      </c>
      <c r="AA18">
        <v>1187</v>
      </c>
      <c r="AB18">
        <v>21619</v>
      </c>
      <c r="AC18">
        <v>2386</v>
      </c>
      <c r="AD18">
        <v>2756</v>
      </c>
      <c r="AF18">
        <v>519</v>
      </c>
      <c r="AG18">
        <v>1336</v>
      </c>
      <c r="AH18">
        <v>1306</v>
      </c>
      <c r="AI18" s="40">
        <v>825</v>
      </c>
      <c r="AK18">
        <v>1219</v>
      </c>
      <c r="AP18">
        <v>1166</v>
      </c>
      <c r="AQ18">
        <v>959</v>
      </c>
      <c r="AR18">
        <v>917</v>
      </c>
      <c r="AS18">
        <v>1082</v>
      </c>
      <c r="AT18">
        <v>1790</v>
      </c>
      <c r="AU18">
        <v>2450</v>
      </c>
      <c r="AV18">
        <v>657</v>
      </c>
      <c r="AW18">
        <v>726</v>
      </c>
      <c r="AX18">
        <v>1286</v>
      </c>
      <c r="AY18">
        <v>638</v>
      </c>
      <c r="AZ18">
        <v>615</v>
      </c>
      <c r="BA18">
        <v>1156</v>
      </c>
      <c r="BB18">
        <v>1180</v>
      </c>
    </row>
    <row r="19" spans="1:56" ht="30.75" customHeight="1">
      <c r="A19" s="526"/>
      <c r="B19" s="236" t="s">
        <v>176</v>
      </c>
      <c r="C19" s="84"/>
      <c r="D19" s="86">
        <v>1243</v>
      </c>
      <c r="E19" s="370"/>
      <c r="F19" s="367"/>
      <c r="G19">
        <v>1257</v>
      </c>
      <c r="H19">
        <v>1323</v>
      </c>
      <c r="I19">
        <v>1299</v>
      </c>
      <c r="J19">
        <v>1300</v>
      </c>
      <c r="K19">
        <v>1284</v>
      </c>
      <c r="L19">
        <v>362</v>
      </c>
      <c r="M19">
        <v>792</v>
      </c>
      <c r="N19">
        <v>1911</v>
      </c>
      <c r="O19">
        <v>354</v>
      </c>
      <c r="P19">
        <v>356</v>
      </c>
      <c r="Q19">
        <v>1257</v>
      </c>
      <c r="R19">
        <v>1258</v>
      </c>
      <c r="S19" s="37"/>
      <c r="T19" s="37"/>
      <c r="V19">
        <v>327</v>
      </c>
      <c r="W19">
        <v>1128</v>
      </c>
      <c r="X19">
        <v>361</v>
      </c>
      <c r="Y19">
        <v>800</v>
      </c>
      <c r="Z19">
        <v>1104</v>
      </c>
      <c r="AA19">
        <v>1699</v>
      </c>
      <c r="AB19">
        <v>5038</v>
      </c>
      <c r="AC19">
        <v>1137</v>
      </c>
      <c r="AD19">
        <v>1210</v>
      </c>
      <c r="AF19">
        <v>339</v>
      </c>
      <c r="AG19">
        <v>1167</v>
      </c>
      <c r="AH19">
        <v>1112</v>
      </c>
      <c r="AI19" s="40">
        <v>1100</v>
      </c>
      <c r="AK19">
        <v>1227</v>
      </c>
      <c r="AP19">
        <v>1203</v>
      </c>
      <c r="AQ19">
        <v>1283</v>
      </c>
      <c r="AR19">
        <v>1213</v>
      </c>
      <c r="AS19">
        <v>1250.69</v>
      </c>
      <c r="AT19">
        <v>1268</v>
      </c>
      <c r="AU19">
        <v>1245</v>
      </c>
      <c r="AV19">
        <v>370</v>
      </c>
      <c r="AW19">
        <v>803</v>
      </c>
      <c r="AX19">
        <v>1737</v>
      </c>
      <c r="AY19" s="37" t="s">
        <v>340</v>
      </c>
      <c r="AZ19" s="37">
        <v>368</v>
      </c>
      <c r="BA19" s="37">
        <v>1240</v>
      </c>
      <c r="BB19" s="37">
        <v>1212</v>
      </c>
      <c r="BC19" s="37"/>
      <c r="BD19" s="37"/>
    </row>
    <row r="20" spans="1:56" ht="25.5">
      <c r="A20" s="526"/>
      <c r="B20" s="236" t="s">
        <v>250</v>
      </c>
      <c r="C20" s="84"/>
      <c r="D20" s="86"/>
      <c r="E20" s="370"/>
      <c r="F20" s="367"/>
      <c r="G20">
        <v>407</v>
      </c>
      <c r="H20">
        <v>315</v>
      </c>
      <c r="I20">
        <v>307</v>
      </c>
      <c r="J20">
        <v>628</v>
      </c>
      <c r="K20">
        <v>868</v>
      </c>
      <c r="L20">
        <v>306</v>
      </c>
      <c r="M20">
        <v>309</v>
      </c>
      <c r="N20">
        <v>328</v>
      </c>
      <c r="O20">
        <v>127</v>
      </c>
      <c r="P20">
        <v>128</v>
      </c>
      <c r="Q20">
        <v>407</v>
      </c>
      <c r="R20">
        <v>405</v>
      </c>
      <c r="V20">
        <v>107</v>
      </c>
      <c r="W20">
        <v>290</v>
      </c>
      <c r="X20">
        <v>267</v>
      </c>
      <c r="Y20">
        <v>248</v>
      </c>
      <c r="Z20">
        <v>287</v>
      </c>
      <c r="AA20">
        <v>288</v>
      </c>
      <c r="AB20">
        <v>335</v>
      </c>
      <c r="AC20">
        <v>726</v>
      </c>
      <c r="AD20">
        <v>956</v>
      </c>
      <c r="AF20">
        <v>258</v>
      </c>
      <c r="AG20">
        <v>517</v>
      </c>
      <c r="AH20">
        <v>438</v>
      </c>
      <c r="AI20" s="40">
        <v>438</v>
      </c>
      <c r="AK20">
        <v>388</v>
      </c>
      <c r="AP20">
        <v>469</v>
      </c>
      <c r="AQ20">
        <v>297</v>
      </c>
      <c r="AR20">
        <v>480</v>
      </c>
      <c r="AS20">
        <v>349</v>
      </c>
      <c r="AT20">
        <v>567</v>
      </c>
      <c r="AU20">
        <v>807</v>
      </c>
      <c r="AV20">
        <v>286</v>
      </c>
      <c r="AW20">
        <v>280</v>
      </c>
      <c r="AX20">
        <v>299</v>
      </c>
      <c r="AY20">
        <v>492</v>
      </c>
      <c r="AZ20">
        <v>139</v>
      </c>
      <c r="BA20">
        <v>514</v>
      </c>
      <c r="BB20">
        <v>438</v>
      </c>
    </row>
    <row r="21" spans="1:56" ht="25.5" customHeight="1">
      <c r="A21" s="526"/>
      <c r="B21" s="236" t="s">
        <v>251</v>
      </c>
      <c r="C21" s="84"/>
      <c r="D21" s="86">
        <v>98.39</v>
      </c>
      <c r="E21" s="370"/>
      <c r="F21" s="367"/>
      <c r="G21">
        <v>366</v>
      </c>
      <c r="H21">
        <v>371</v>
      </c>
      <c r="I21">
        <v>367</v>
      </c>
      <c r="J21">
        <v>367</v>
      </c>
      <c r="K21">
        <v>377</v>
      </c>
      <c r="L21">
        <v>368</v>
      </c>
      <c r="M21">
        <v>374</v>
      </c>
      <c r="N21">
        <v>379</v>
      </c>
      <c r="O21">
        <v>113</v>
      </c>
      <c r="P21">
        <v>111</v>
      </c>
      <c r="Q21">
        <v>366</v>
      </c>
      <c r="R21">
        <v>365</v>
      </c>
      <c r="S21" s="37"/>
      <c r="T21" s="37"/>
      <c r="V21">
        <v>91</v>
      </c>
      <c r="W21">
        <v>136</v>
      </c>
      <c r="X21">
        <v>292</v>
      </c>
      <c r="Y21">
        <v>292</v>
      </c>
      <c r="Z21">
        <v>298</v>
      </c>
      <c r="AA21">
        <v>292</v>
      </c>
      <c r="AB21">
        <v>295</v>
      </c>
      <c r="AC21">
        <v>293</v>
      </c>
      <c r="AD21">
        <v>371</v>
      </c>
      <c r="AF21">
        <v>291</v>
      </c>
      <c r="AG21">
        <v>351</v>
      </c>
      <c r="AH21">
        <v>295</v>
      </c>
      <c r="AI21" s="40">
        <v>296</v>
      </c>
      <c r="AK21">
        <v>388</v>
      </c>
      <c r="AP21">
        <v>483.8</v>
      </c>
      <c r="AQ21">
        <v>394.39</v>
      </c>
      <c r="AR21">
        <v>562</v>
      </c>
      <c r="AS21">
        <v>400.89</v>
      </c>
      <c r="AT21">
        <v>389</v>
      </c>
      <c r="AU21">
        <v>393.1</v>
      </c>
      <c r="AV21">
        <v>383.59</v>
      </c>
      <c r="AW21">
        <v>395</v>
      </c>
      <c r="AX21">
        <v>401.39</v>
      </c>
      <c r="AY21" s="37" t="s">
        <v>341</v>
      </c>
      <c r="AZ21" s="37">
        <v>115</v>
      </c>
      <c r="BA21" s="37">
        <v>594</v>
      </c>
      <c r="BB21" s="37">
        <v>391.6</v>
      </c>
      <c r="BC21" s="37"/>
      <c r="BD21" s="37"/>
    </row>
    <row r="22" spans="1:56" ht="38.25">
      <c r="A22" s="526"/>
      <c r="B22" s="236" t="s">
        <v>208</v>
      </c>
      <c r="C22" s="84"/>
      <c r="D22" s="86"/>
      <c r="E22" s="370"/>
      <c r="F22" s="367"/>
      <c r="G22" s="164">
        <v>1</v>
      </c>
      <c r="H22" s="164">
        <v>1.3</v>
      </c>
      <c r="I22" s="164">
        <v>1.3</v>
      </c>
      <c r="J22" s="164">
        <v>1</v>
      </c>
      <c r="K22" s="164">
        <v>1</v>
      </c>
      <c r="L22" s="164">
        <v>1.3</v>
      </c>
      <c r="M22" s="164">
        <v>1.3</v>
      </c>
      <c r="N22" s="164">
        <v>1.4</v>
      </c>
      <c r="O22" s="164">
        <v>1.1000000000000001</v>
      </c>
      <c r="P22" s="164">
        <v>1</v>
      </c>
      <c r="Q22" s="164">
        <v>1</v>
      </c>
      <c r="R22" s="164">
        <v>1.1000000000000001</v>
      </c>
      <c r="S22" s="192"/>
      <c r="T22" s="192"/>
      <c r="V22" s="164">
        <v>1.47</v>
      </c>
      <c r="W22" s="164">
        <v>1.48</v>
      </c>
      <c r="X22" s="164">
        <v>1.52</v>
      </c>
      <c r="Y22" s="164">
        <v>1.02</v>
      </c>
      <c r="Z22" s="164">
        <v>1.1000000000000001</v>
      </c>
      <c r="AA22" s="164">
        <v>1.18</v>
      </c>
      <c r="AB22" s="164">
        <v>2.42</v>
      </c>
      <c r="AC22" s="164">
        <v>0.95</v>
      </c>
      <c r="AD22" s="164">
        <v>1</v>
      </c>
      <c r="AE22" s="164"/>
      <c r="AF22" s="164">
        <v>0.94</v>
      </c>
      <c r="AG22" s="164">
        <v>1.34</v>
      </c>
      <c r="AH22" s="164">
        <v>1.01</v>
      </c>
      <c r="AI22" s="376">
        <v>1.2</v>
      </c>
      <c r="AK22" s="192"/>
      <c r="AL22" s="192"/>
      <c r="AM22" s="192"/>
      <c r="AP22" s="192">
        <v>1.4</v>
      </c>
      <c r="AQ22" s="192">
        <v>1.4</v>
      </c>
      <c r="AR22" s="192">
        <v>1.3</v>
      </c>
      <c r="AS22" s="192">
        <v>1.3</v>
      </c>
      <c r="AT22" s="192">
        <v>1.4</v>
      </c>
      <c r="AU22" s="192">
        <v>1.3</v>
      </c>
      <c r="AV22" s="192">
        <v>1.3</v>
      </c>
      <c r="AW22" s="192">
        <v>1.3</v>
      </c>
      <c r="AX22" s="192">
        <v>1.4</v>
      </c>
      <c r="AY22" s="192">
        <v>1.1000000000000001</v>
      </c>
      <c r="AZ22" s="192">
        <v>1.3</v>
      </c>
      <c r="BA22" s="192">
        <v>1.3</v>
      </c>
      <c r="BB22" s="192">
        <v>1.3</v>
      </c>
      <c r="BC22" s="192"/>
      <c r="BD22" s="192"/>
    </row>
    <row r="23" spans="1:56" ht="38.25">
      <c r="A23" s="526"/>
      <c r="B23" s="236" t="s">
        <v>209</v>
      </c>
      <c r="C23" s="84"/>
      <c r="D23" s="82"/>
      <c r="E23" s="84"/>
      <c r="F23" s="367"/>
      <c r="G23" s="164">
        <v>1.4</v>
      </c>
      <c r="H23" s="164">
        <v>1.6</v>
      </c>
      <c r="I23" s="164">
        <v>1.6</v>
      </c>
      <c r="J23" s="164">
        <v>1.4</v>
      </c>
      <c r="K23" s="164">
        <v>1.4</v>
      </c>
      <c r="L23" s="164">
        <v>1.6</v>
      </c>
      <c r="M23" s="164">
        <v>1.6</v>
      </c>
      <c r="N23" s="164">
        <v>1.6</v>
      </c>
      <c r="O23" s="164">
        <v>1.1000000000000001</v>
      </c>
      <c r="P23" s="164">
        <v>1.4</v>
      </c>
      <c r="Q23" s="164">
        <v>1.4</v>
      </c>
      <c r="R23" s="164">
        <v>1.4</v>
      </c>
      <c r="S23" s="192"/>
      <c r="T23" s="192"/>
      <c r="V23" s="164">
        <v>1.51</v>
      </c>
      <c r="W23" s="164">
        <v>1.5</v>
      </c>
      <c r="X23" s="164">
        <v>1.53</v>
      </c>
      <c r="Y23" s="164">
        <v>1.59</v>
      </c>
      <c r="Z23" s="164">
        <v>1.59</v>
      </c>
      <c r="AA23" s="164">
        <v>1.67</v>
      </c>
      <c r="AB23" s="164">
        <v>1.57</v>
      </c>
      <c r="AC23" s="164">
        <v>1.42</v>
      </c>
      <c r="AD23" s="164">
        <v>1.42</v>
      </c>
      <c r="AE23" s="164"/>
      <c r="AF23" s="164">
        <v>1.57</v>
      </c>
      <c r="AG23" s="164">
        <v>1.41</v>
      </c>
      <c r="AH23" s="164">
        <v>1.57</v>
      </c>
      <c r="AI23" s="376">
        <v>1.61</v>
      </c>
      <c r="AK23" s="192"/>
      <c r="AL23" s="192"/>
      <c r="AM23" s="192"/>
      <c r="AP23" s="192">
        <v>2</v>
      </c>
      <c r="AQ23" s="192">
        <v>2</v>
      </c>
      <c r="AR23" s="192">
        <v>2</v>
      </c>
      <c r="AS23" s="192">
        <v>1.7</v>
      </c>
      <c r="AT23" s="192">
        <v>1.9</v>
      </c>
      <c r="AU23" s="192">
        <v>1.9</v>
      </c>
      <c r="AV23" s="192">
        <v>2</v>
      </c>
      <c r="AW23" s="192">
        <v>2</v>
      </c>
      <c r="AX23" s="192">
        <v>2</v>
      </c>
      <c r="AY23" s="192">
        <v>1.8</v>
      </c>
      <c r="AZ23" s="192">
        <v>1.6</v>
      </c>
      <c r="BA23" s="192">
        <v>1.9</v>
      </c>
      <c r="BB23" s="192">
        <v>2</v>
      </c>
      <c r="BC23" s="192"/>
      <c r="BD23" s="192"/>
    </row>
    <row r="24" spans="1:56" ht="26.25" thickBot="1">
      <c r="A24" s="526"/>
      <c r="B24" s="236" t="s">
        <v>190</v>
      </c>
      <c r="C24" s="84"/>
      <c r="D24" s="82"/>
      <c r="E24" s="84"/>
      <c r="F24" s="368"/>
      <c r="G24" s="371">
        <v>1</v>
      </c>
      <c r="H24" s="371">
        <v>1</v>
      </c>
      <c r="I24" s="371">
        <v>1.2</v>
      </c>
      <c r="J24" s="371">
        <v>1</v>
      </c>
      <c r="K24" s="371">
        <v>1</v>
      </c>
      <c r="L24" s="371">
        <v>1.1000000000000001</v>
      </c>
      <c r="M24" s="371">
        <v>1.4</v>
      </c>
      <c r="N24" s="371">
        <v>1</v>
      </c>
      <c r="O24" s="371">
        <v>1</v>
      </c>
      <c r="P24" s="371">
        <v>1</v>
      </c>
      <c r="Q24" s="371">
        <v>1</v>
      </c>
      <c r="R24" s="371">
        <v>1.1000000000000001</v>
      </c>
      <c r="S24" s="372"/>
      <c r="T24" s="372"/>
      <c r="U24" s="43"/>
      <c r="V24" s="371">
        <v>1.01</v>
      </c>
      <c r="W24" s="371">
        <v>0.94</v>
      </c>
      <c r="X24" s="371">
        <v>1.01</v>
      </c>
      <c r="Y24" s="371">
        <v>1.01</v>
      </c>
      <c r="Z24" s="371">
        <v>1.1000000000000001</v>
      </c>
      <c r="AA24" s="371">
        <v>1.02</v>
      </c>
      <c r="AB24" s="371">
        <v>1.18</v>
      </c>
      <c r="AC24" s="371">
        <v>1.01</v>
      </c>
      <c r="AD24" s="371">
        <v>0.51</v>
      </c>
      <c r="AE24" s="371"/>
      <c r="AF24" s="371">
        <v>0.94</v>
      </c>
      <c r="AG24" s="371">
        <v>1.03</v>
      </c>
      <c r="AH24" s="371">
        <v>1.01</v>
      </c>
      <c r="AI24" s="377">
        <v>1.08</v>
      </c>
      <c r="AK24" s="192"/>
      <c r="AL24" s="192"/>
      <c r="AM24" s="192"/>
      <c r="AP24" s="192">
        <v>1</v>
      </c>
      <c r="AQ24" s="192">
        <v>1</v>
      </c>
      <c r="AR24" s="192">
        <v>1</v>
      </c>
      <c r="AS24" s="192">
        <v>1</v>
      </c>
      <c r="AT24" s="192">
        <v>1</v>
      </c>
      <c r="AU24" s="192">
        <v>1</v>
      </c>
      <c r="AV24" s="192">
        <v>1</v>
      </c>
      <c r="AW24" s="192">
        <v>1</v>
      </c>
      <c r="AX24" s="192">
        <v>1</v>
      </c>
      <c r="AY24" s="192">
        <v>0.9</v>
      </c>
      <c r="AZ24" s="192">
        <v>1</v>
      </c>
      <c r="BA24" s="192">
        <v>1</v>
      </c>
      <c r="BB24" s="192">
        <v>1</v>
      </c>
      <c r="BC24" s="192"/>
      <c r="BD24" s="192"/>
    </row>
    <row r="25" spans="1:56" ht="28.5" customHeight="1">
      <c r="A25" s="525" t="s">
        <v>252</v>
      </c>
      <c r="B25" s="235" t="s">
        <v>253</v>
      </c>
      <c r="C25" s="83"/>
      <c r="D25" s="82"/>
      <c r="E25" s="82"/>
      <c r="F25" s="37"/>
      <c r="G25">
        <v>144768</v>
      </c>
      <c r="H25">
        <v>157196</v>
      </c>
      <c r="I25">
        <v>153012</v>
      </c>
      <c r="J25">
        <v>158792</v>
      </c>
      <c r="K25">
        <v>148592</v>
      </c>
      <c r="L25">
        <v>166800</v>
      </c>
      <c r="M25">
        <v>149800</v>
      </c>
      <c r="N25">
        <v>155388</v>
      </c>
      <c r="O25">
        <v>162944</v>
      </c>
      <c r="P25">
        <v>149812</v>
      </c>
      <c r="Q25">
        <v>144768</v>
      </c>
      <c r="R25">
        <v>146796</v>
      </c>
      <c r="S25" s="38"/>
      <c r="T25" s="38"/>
      <c r="V25">
        <v>145044</v>
      </c>
      <c r="W25">
        <v>157164</v>
      </c>
      <c r="X25">
        <v>157036</v>
      </c>
      <c r="Y25">
        <v>145104</v>
      </c>
      <c r="Z25">
        <v>157292</v>
      </c>
      <c r="AA25">
        <v>160176</v>
      </c>
      <c r="AB25">
        <v>168080</v>
      </c>
      <c r="AC25">
        <v>145444</v>
      </c>
      <c r="AD25">
        <v>154096</v>
      </c>
      <c r="AF25">
        <v>147196</v>
      </c>
      <c r="AG25">
        <v>157496</v>
      </c>
      <c r="AH25">
        <v>151632</v>
      </c>
      <c r="AI25">
        <v>157536</v>
      </c>
      <c r="AK25" s="38">
        <v>157668</v>
      </c>
      <c r="AL25" s="38"/>
      <c r="AM25" s="38"/>
      <c r="AP25" s="38">
        <v>157016</v>
      </c>
      <c r="AQ25" s="38">
        <v>156628</v>
      </c>
      <c r="AR25" s="38">
        <v>156916</v>
      </c>
      <c r="AS25" s="38">
        <v>156392</v>
      </c>
      <c r="AT25" s="38">
        <v>156852</v>
      </c>
      <c r="AU25" s="38">
        <v>157172</v>
      </c>
      <c r="AV25" s="38">
        <v>156336</v>
      </c>
      <c r="AW25" s="38">
        <v>156552</v>
      </c>
      <c r="AX25" s="38">
        <v>156584</v>
      </c>
      <c r="AY25" s="38">
        <v>162288</v>
      </c>
      <c r="AZ25" s="38">
        <v>157316</v>
      </c>
      <c r="BA25" s="38">
        <v>155456</v>
      </c>
      <c r="BB25" s="38">
        <v>155904</v>
      </c>
      <c r="BC25" s="38"/>
      <c r="BD25" s="38"/>
    </row>
    <row r="26" spans="1:56" ht="25.5">
      <c r="A26" s="526"/>
      <c r="B26" s="236" t="s">
        <v>254</v>
      </c>
      <c r="C26" s="84"/>
      <c r="D26" s="82"/>
      <c r="E26" s="82"/>
      <c r="F26" s="37"/>
      <c r="G26">
        <v>701432</v>
      </c>
      <c r="H26">
        <v>684700</v>
      </c>
      <c r="I26">
        <v>695288</v>
      </c>
      <c r="J26">
        <v>743160</v>
      </c>
      <c r="K26">
        <v>734300</v>
      </c>
      <c r="L26">
        <v>423820</v>
      </c>
      <c r="M26">
        <v>518068</v>
      </c>
      <c r="N26">
        <v>854752</v>
      </c>
      <c r="O26">
        <v>356236</v>
      </c>
      <c r="P26">
        <v>336836</v>
      </c>
      <c r="Q26">
        <v>701432</v>
      </c>
      <c r="R26">
        <v>723980</v>
      </c>
      <c r="S26" s="38"/>
      <c r="T26" s="38"/>
      <c r="V26">
        <v>349184</v>
      </c>
      <c r="W26">
        <v>689704</v>
      </c>
      <c r="X26">
        <v>431844</v>
      </c>
      <c r="Y26">
        <v>557348</v>
      </c>
      <c r="Z26">
        <v>715116</v>
      </c>
      <c r="AA26">
        <v>860060</v>
      </c>
      <c r="AB26">
        <v>1527676</v>
      </c>
      <c r="AC26">
        <v>717492</v>
      </c>
      <c r="AD26">
        <v>723216</v>
      </c>
      <c r="AF26">
        <v>430776</v>
      </c>
      <c r="AG26">
        <v>789780</v>
      </c>
      <c r="AH26">
        <v>712176</v>
      </c>
      <c r="AI26">
        <v>770856</v>
      </c>
      <c r="AK26" s="38">
        <v>691216</v>
      </c>
      <c r="AL26" s="38"/>
      <c r="AM26" s="38"/>
      <c r="AP26" s="38">
        <v>2145564</v>
      </c>
      <c r="AQ26" s="38">
        <v>2108632</v>
      </c>
      <c r="AR26" s="38">
        <v>2023024</v>
      </c>
      <c r="AS26" s="38">
        <v>1160876</v>
      </c>
      <c r="AT26" s="38">
        <v>1930828</v>
      </c>
      <c r="AU26" s="38">
        <v>2113416</v>
      </c>
      <c r="AV26" s="38">
        <v>1132312</v>
      </c>
      <c r="AW26" s="38">
        <v>1653128</v>
      </c>
      <c r="AX26" s="38">
        <v>2581656</v>
      </c>
      <c r="AY26" s="38">
        <v>2028232</v>
      </c>
      <c r="AZ26" s="38">
        <v>839584</v>
      </c>
      <c r="BA26" s="38">
        <v>735452</v>
      </c>
      <c r="BB26" s="38">
        <v>715636</v>
      </c>
      <c r="BC26" s="38"/>
      <c r="BD26" s="38"/>
    </row>
    <row r="27" spans="1:56" ht="38.25">
      <c r="A27" s="526"/>
      <c r="B27" s="236" t="s">
        <v>189</v>
      </c>
      <c r="C27" s="84"/>
      <c r="D27" s="86">
        <v>441215</v>
      </c>
      <c r="E27" s="86"/>
      <c r="F27" s="37"/>
      <c r="G27">
        <v>455996</v>
      </c>
      <c r="H27">
        <v>449112</v>
      </c>
      <c r="I27">
        <v>463104</v>
      </c>
      <c r="J27">
        <v>495384</v>
      </c>
      <c r="K27">
        <v>488224</v>
      </c>
      <c r="L27">
        <v>271284</v>
      </c>
      <c r="M27">
        <v>349692</v>
      </c>
      <c r="N27">
        <v>544356</v>
      </c>
      <c r="O27">
        <v>272304</v>
      </c>
      <c r="P27">
        <v>252244</v>
      </c>
      <c r="Q27">
        <v>455996</v>
      </c>
      <c r="R27">
        <v>457444</v>
      </c>
      <c r="V27">
        <v>257968</v>
      </c>
      <c r="W27">
        <v>445608</v>
      </c>
      <c r="X27">
        <v>252968</v>
      </c>
      <c r="Y27">
        <v>351104</v>
      </c>
      <c r="Z27">
        <v>447284</v>
      </c>
      <c r="AA27">
        <v>533172</v>
      </c>
      <c r="AB27">
        <v>911360</v>
      </c>
      <c r="AC27">
        <v>466912</v>
      </c>
      <c r="AD27">
        <v>475692</v>
      </c>
      <c r="AF27">
        <v>253804</v>
      </c>
      <c r="AG27">
        <v>448844</v>
      </c>
      <c r="AH27">
        <v>456004</v>
      </c>
      <c r="AI27">
        <v>443392</v>
      </c>
      <c r="AP27">
        <v>458668</v>
      </c>
      <c r="AQ27">
        <v>441260</v>
      </c>
      <c r="AR27">
        <v>452812</v>
      </c>
      <c r="AS27">
        <v>452216</v>
      </c>
      <c r="AT27">
        <v>463608</v>
      </c>
      <c r="AU27">
        <v>467652</v>
      </c>
      <c r="AV27">
        <v>254496</v>
      </c>
      <c r="AW27">
        <v>352976</v>
      </c>
      <c r="AX27">
        <v>550520</v>
      </c>
      <c r="AY27">
        <v>358348</v>
      </c>
      <c r="AZ27">
        <v>254328</v>
      </c>
      <c r="BA27">
        <v>451456</v>
      </c>
      <c r="BB27">
        <v>452060</v>
      </c>
    </row>
    <row r="28" spans="1:56" ht="38.25">
      <c r="A28" s="526"/>
      <c r="B28" s="236" t="s">
        <v>188</v>
      </c>
      <c r="C28" s="84"/>
      <c r="D28" s="86">
        <v>671667</v>
      </c>
      <c r="E28" s="86"/>
      <c r="F28" s="37"/>
      <c r="G28">
        <v>691404</v>
      </c>
      <c r="H28">
        <v>676436</v>
      </c>
      <c r="I28">
        <v>690244</v>
      </c>
      <c r="J28">
        <v>733108</v>
      </c>
      <c r="K28">
        <v>724844</v>
      </c>
      <c r="L28">
        <v>347208</v>
      </c>
      <c r="M28">
        <v>501296</v>
      </c>
      <c r="N28">
        <v>847844</v>
      </c>
      <c r="O28">
        <v>348504</v>
      </c>
      <c r="P28">
        <v>328380</v>
      </c>
      <c r="Q28">
        <v>691404</v>
      </c>
      <c r="R28">
        <v>693272</v>
      </c>
      <c r="V28">
        <v>329748</v>
      </c>
      <c r="W28">
        <v>672456</v>
      </c>
      <c r="X28">
        <v>329472</v>
      </c>
      <c r="Y28">
        <v>496668</v>
      </c>
      <c r="Z28">
        <v>672276</v>
      </c>
      <c r="AA28">
        <v>843140</v>
      </c>
      <c r="AB28">
        <v>1527676</v>
      </c>
      <c r="AC28">
        <v>702552</v>
      </c>
      <c r="AD28">
        <v>708060</v>
      </c>
      <c r="AF28">
        <v>328068</v>
      </c>
      <c r="AG28">
        <v>691480</v>
      </c>
      <c r="AH28">
        <v>695852</v>
      </c>
      <c r="AI28">
        <v>664960</v>
      </c>
      <c r="AP28">
        <v>876304</v>
      </c>
      <c r="AQ28">
        <v>863748</v>
      </c>
      <c r="AR28">
        <v>865068</v>
      </c>
      <c r="AS28">
        <v>700476</v>
      </c>
      <c r="AT28">
        <v>882276</v>
      </c>
      <c r="AU28">
        <v>909668</v>
      </c>
      <c r="AV28">
        <v>391916</v>
      </c>
      <c r="AW28">
        <v>627908</v>
      </c>
      <c r="AX28">
        <v>1101784</v>
      </c>
      <c r="AY28">
        <v>1043284</v>
      </c>
      <c r="AZ28">
        <v>391984</v>
      </c>
      <c r="BA28">
        <v>681564</v>
      </c>
      <c r="BB28">
        <v>684320</v>
      </c>
    </row>
    <row r="29" spans="1:56" ht="51" customHeight="1">
      <c r="A29" s="526"/>
      <c r="B29" s="236" t="s">
        <v>184</v>
      </c>
      <c r="C29" s="84"/>
      <c r="D29" s="87">
        <v>0.4</v>
      </c>
      <c r="E29" s="87"/>
      <c r="F29" s="37"/>
      <c r="G29" s="164">
        <v>1</v>
      </c>
      <c r="H29" s="164">
        <v>0.6</v>
      </c>
      <c r="I29" s="164">
        <v>0.7</v>
      </c>
      <c r="J29" s="164">
        <v>1.1100000000000001</v>
      </c>
      <c r="K29" s="164">
        <v>1.1100000000000001</v>
      </c>
      <c r="L29" s="164">
        <v>0.4</v>
      </c>
      <c r="M29" s="164">
        <v>0.6</v>
      </c>
      <c r="N29" s="164">
        <v>0.5</v>
      </c>
      <c r="O29" s="164">
        <v>0.44</v>
      </c>
      <c r="P29" s="164">
        <v>0.4</v>
      </c>
      <c r="Q29" s="164">
        <v>1</v>
      </c>
      <c r="R29" s="164">
        <v>1.1000000000000001</v>
      </c>
      <c r="S29" s="164"/>
      <c r="T29" s="164"/>
      <c r="V29" s="164">
        <v>0.42</v>
      </c>
      <c r="W29" s="164">
        <v>0.99</v>
      </c>
      <c r="X29" s="164">
        <v>0.42</v>
      </c>
      <c r="Y29" s="164">
        <v>0.73</v>
      </c>
      <c r="Z29" s="164">
        <v>0.75</v>
      </c>
      <c r="AA29" s="164">
        <v>1</v>
      </c>
      <c r="AB29" s="164">
        <v>1.08</v>
      </c>
      <c r="AC29" s="164">
        <v>1.45</v>
      </c>
      <c r="AD29" s="164">
        <v>1.6</v>
      </c>
      <c r="AE29" s="164"/>
      <c r="AF29" s="164">
        <v>0.59</v>
      </c>
      <c r="AG29" s="164">
        <v>0.96</v>
      </c>
      <c r="AH29" s="164">
        <v>0.9</v>
      </c>
      <c r="AI29" s="164">
        <v>0.75</v>
      </c>
      <c r="AK29" s="164"/>
      <c r="AL29" s="164"/>
      <c r="AM29" s="164"/>
      <c r="AP29" s="164">
        <v>1.3</v>
      </c>
      <c r="AQ29" s="164">
        <v>0.6</v>
      </c>
      <c r="AR29" s="164">
        <v>0.7</v>
      </c>
      <c r="AS29" s="164">
        <v>1.2</v>
      </c>
      <c r="AT29" s="164">
        <v>1.3</v>
      </c>
      <c r="AU29" s="164">
        <v>1.3</v>
      </c>
      <c r="AV29" s="164">
        <v>0.4</v>
      </c>
      <c r="AW29" s="164">
        <v>0.6</v>
      </c>
      <c r="AX29" s="164">
        <v>0.7</v>
      </c>
      <c r="AY29" s="164">
        <v>0.9</v>
      </c>
      <c r="AZ29" s="164">
        <v>0.5</v>
      </c>
      <c r="BA29" s="164">
        <v>1.3</v>
      </c>
      <c r="BB29" s="164">
        <v>1.3</v>
      </c>
      <c r="BC29" s="164"/>
      <c r="BD29" s="164"/>
    </row>
    <row r="30" spans="1:56" ht="38.25">
      <c r="A30" s="526"/>
      <c r="B30" s="236" t="s">
        <v>371</v>
      </c>
      <c r="C30" s="84"/>
      <c r="D30" s="86">
        <v>858</v>
      </c>
      <c r="E30" s="86"/>
      <c r="F30" s="37"/>
      <c r="G30">
        <v>1266</v>
      </c>
      <c r="H30">
        <v>1056</v>
      </c>
      <c r="I30">
        <v>1068</v>
      </c>
      <c r="J30">
        <v>1906</v>
      </c>
      <c r="K30">
        <v>2530</v>
      </c>
      <c r="L30">
        <v>587</v>
      </c>
      <c r="M30">
        <v>770</v>
      </c>
      <c r="N30">
        <v>1466</v>
      </c>
      <c r="O30">
        <v>587</v>
      </c>
      <c r="P30">
        <v>599</v>
      </c>
      <c r="Q30">
        <v>1266</v>
      </c>
      <c r="R30">
        <v>1265</v>
      </c>
      <c r="V30">
        <v>499</v>
      </c>
      <c r="W30">
        <v>936</v>
      </c>
      <c r="X30">
        <v>567</v>
      </c>
      <c r="Y30">
        <v>1305</v>
      </c>
      <c r="Z30">
        <v>826</v>
      </c>
      <c r="AA30">
        <v>1187</v>
      </c>
      <c r="AB30">
        <v>21619</v>
      </c>
      <c r="AC30">
        <v>2386</v>
      </c>
      <c r="AD30">
        <v>2756</v>
      </c>
      <c r="AF30">
        <v>519</v>
      </c>
      <c r="AG30">
        <v>1336</v>
      </c>
      <c r="AH30">
        <v>1306</v>
      </c>
      <c r="AI30">
        <v>825</v>
      </c>
      <c r="AP30">
        <v>1166</v>
      </c>
      <c r="AQ30">
        <v>959</v>
      </c>
      <c r="AR30">
        <v>917</v>
      </c>
      <c r="AS30">
        <v>1082</v>
      </c>
      <c r="AT30">
        <v>1790</v>
      </c>
      <c r="AU30">
        <v>2450</v>
      </c>
      <c r="AV30">
        <v>657</v>
      </c>
      <c r="AW30">
        <v>726</v>
      </c>
      <c r="AX30">
        <v>1286</v>
      </c>
      <c r="AY30">
        <v>638</v>
      </c>
      <c r="AZ30">
        <v>615</v>
      </c>
      <c r="BA30">
        <v>1156</v>
      </c>
      <c r="BB30">
        <v>1180</v>
      </c>
    </row>
    <row r="31" spans="1:56" ht="25.5">
      <c r="A31" s="526"/>
      <c r="B31" s="236" t="s">
        <v>372</v>
      </c>
      <c r="C31" s="84"/>
      <c r="D31" s="86">
        <v>782</v>
      </c>
      <c r="E31" s="86"/>
      <c r="F31" s="37"/>
      <c r="G31">
        <v>1036</v>
      </c>
      <c r="H31">
        <v>328</v>
      </c>
      <c r="I31">
        <v>330</v>
      </c>
      <c r="J31">
        <v>1685</v>
      </c>
      <c r="K31">
        <v>2301</v>
      </c>
      <c r="L31">
        <v>110</v>
      </c>
      <c r="M31">
        <v>220</v>
      </c>
      <c r="N31">
        <v>445</v>
      </c>
      <c r="O31">
        <v>298</v>
      </c>
      <c r="P31">
        <v>109</v>
      </c>
      <c r="Q31">
        <v>1036</v>
      </c>
      <c r="R31">
        <v>1022</v>
      </c>
      <c r="V31">
        <v>96</v>
      </c>
      <c r="W31">
        <v>360</v>
      </c>
      <c r="X31">
        <v>103</v>
      </c>
      <c r="Y31">
        <v>223</v>
      </c>
      <c r="Z31">
        <v>342</v>
      </c>
      <c r="AA31">
        <v>610</v>
      </c>
      <c r="AB31">
        <v>2376</v>
      </c>
      <c r="AC31">
        <v>1604</v>
      </c>
      <c r="AD31">
        <v>2306</v>
      </c>
      <c r="AF31">
        <v>98</v>
      </c>
      <c r="AG31">
        <v>1108</v>
      </c>
      <c r="AH31">
        <v>1019</v>
      </c>
      <c r="AI31">
        <v>337</v>
      </c>
      <c r="AP31">
        <v>1078</v>
      </c>
      <c r="AQ31">
        <v>368</v>
      </c>
      <c r="AR31">
        <v>362</v>
      </c>
      <c r="AS31">
        <v>831</v>
      </c>
      <c r="AT31">
        <v>1704</v>
      </c>
      <c r="AU31">
        <v>2356</v>
      </c>
      <c r="AV31">
        <v>122</v>
      </c>
      <c r="AW31">
        <v>241</v>
      </c>
      <c r="AX31">
        <v>494</v>
      </c>
      <c r="AY31">
        <v>267</v>
      </c>
      <c r="AZ31">
        <v>121</v>
      </c>
      <c r="BA31">
        <v>1057</v>
      </c>
      <c r="BB31">
        <v>1071</v>
      </c>
    </row>
    <row r="32" spans="1:56" ht="40.5" customHeight="1">
      <c r="A32" s="526"/>
      <c r="B32" s="236" t="s">
        <v>255</v>
      </c>
      <c r="C32" s="84"/>
      <c r="D32" s="86"/>
      <c r="E32" s="86"/>
      <c r="F32" s="37"/>
      <c r="G32">
        <v>407</v>
      </c>
      <c r="H32">
        <v>315</v>
      </c>
      <c r="I32">
        <v>307</v>
      </c>
      <c r="J32">
        <v>628</v>
      </c>
      <c r="K32">
        <v>868</v>
      </c>
      <c r="L32">
        <v>306</v>
      </c>
      <c r="M32">
        <v>309</v>
      </c>
      <c r="N32">
        <v>328</v>
      </c>
      <c r="O32">
        <v>127</v>
      </c>
      <c r="P32">
        <v>128</v>
      </c>
      <c r="Q32">
        <v>407</v>
      </c>
      <c r="R32">
        <v>405</v>
      </c>
      <c r="V32">
        <v>107</v>
      </c>
      <c r="W32">
        <v>290</v>
      </c>
      <c r="X32">
        <v>267</v>
      </c>
      <c r="Y32">
        <v>248</v>
      </c>
      <c r="Z32">
        <v>287</v>
      </c>
      <c r="AA32">
        <v>288</v>
      </c>
      <c r="AB32">
        <v>335</v>
      </c>
      <c r="AC32">
        <v>726</v>
      </c>
      <c r="AD32">
        <v>956</v>
      </c>
      <c r="AF32">
        <v>258</v>
      </c>
      <c r="AG32">
        <v>517</v>
      </c>
      <c r="AH32">
        <v>438</v>
      </c>
      <c r="AI32">
        <v>438</v>
      </c>
      <c r="AP32">
        <v>469</v>
      </c>
      <c r="AQ32">
        <v>297</v>
      </c>
      <c r="AR32">
        <v>480</v>
      </c>
      <c r="AS32">
        <v>349</v>
      </c>
      <c r="AT32">
        <v>567</v>
      </c>
      <c r="AU32">
        <v>807</v>
      </c>
      <c r="AV32">
        <v>286</v>
      </c>
      <c r="AW32">
        <v>280</v>
      </c>
      <c r="AX32">
        <v>299</v>
      </c>
      <c r="AY32">
        <v>492</v>
      </c>
      <c r="AZ32">
        <v>139</v>
      </c>
      <c r="BA32">
        <v>514</v>
      </c>
      <c r="BB32">
        <v>438</v>
      </c>
    </row>
    <row r="33" spans="1:56" ht="39" thickBot="1">
      <c r="A33" s="527"/>
      <c r="B33" s="238" t="s">
        <v>256</v>
      </c>
      <c r="C33" s="88"/>
      <c r="D33" s="86">
        <v>110</v>
      </c>
      <c r="E33" s="86"/>
      <c r="F33" s="37"/>
      <c r="G33">
        <v>413</v>
      </c>
      <c r="H33">
        <v>158</v>
      </c>
      <c r="I33">
        <v>159</v>
      </c>
      <c r="J33">
        <v>637</v>
      </c>
      <c r="K33">
        <v>876</v>
      </c>
      <c r="L33">
        <v>161</v>
      </c>
      <c r="M33">
        <v>163</v>
      </c>
      <c r="N33">
        <v>162</v>
      </c>
      <c r="O33">
        <v>50</v>
      </c>
      <c r="P33">
        <v>52</v>
      </c>
      <c r="Q33">
        <v>413</v>
      </c>
      <c r="R33">
        <v>402</v>
      </c>
      <c r="V33">
        <v>40</v>
      </c>
      <c r="W33">
        <v>77</v>
      </c>
      <c r="X33">
        <v>127</v>
      </c>
      <c r="Y33">
        <v>125</v>
      </c>
      <c r="Z33">
        <v>126</v>
      </c>
      <c r="AA33">
        <v>125</v>
      </c>
      <c r="AB33">
        <v>126</v>
      </c>
      <c r="AC33">
        <v>519</v>
      </c>
      <c r="AD33">
        <v>792</v>
      </c>
      <c r="AE33">
        <v>41</v>
      </c>
      <c r="AF33">
        <v>124</v>
      </c>
      <c r="AG33">
        <v>426</v>
      </c>
      <c r="AH33">
        <v>333</v>
      </c>
      <c r="AI33">
        <v>128</v>
      </c>
      <c r="AP33">
        <v>585</v>
      </c>
      <c r="AQ33">
        <v>170</v>
      </c>
      <c r="AR33">
        <v>333</v>
      </c>
      <c r="AS33">
        <v>352.89</v>
      </c>
      <c r="AT33">
        <v>637</v>
      </c>
      <c r="AU33">
        <v>868</v>
      </c>
      <c r="AV33">
        <v>177</v>
      </c>
      <c r="AW33">
        <v>170</v>
      </c>
      <c r="AX33">
        <v>171</v>
      </c>
      <c r="AY33">
        <v>364</v>
      </c>
      <c r="AZ33">
        <v>56</v>
      </c>
      <c r="BA33">
        <v>591</v>
      </c>
      <c r="BB33">
        <v>418.6</v>
      </c>
    </row>
    <row r="34" spans="1:56" s="58" customFormat="1" ht="13.5" thickBot="1">
      <c r="A34" s="79"/>
      <c r="B34" s="239"/>
      <c r="C34" s="89"/>
      <c r="D34" s="89" t="s">
        <v>380</v>
      </c>
      <c r="E34" s="89" t="s">
        <v>416</v>
      </c>
      <c r="F34" s="89"/>
      <c r="G34"/>
      <c r="H34"/>
      <c r="I34"/>
      <c r="J34"/>
      <c r="K34"/>
      <c r="L34"/>
      <c r="M34"/>
      <c r="N34"/>
      <c r="O34"/>
      <c r="P34"/>
      <c r="Q34"/>
      <c r="R34"/>
      <c r="S34"/>
      <c r="T34"/>
      <c r="V34"/>
      <c r="W34"/>
      <c r="X34"/>
      <c r="Y34"/>
      <c r="Z34"/>
      <c r="AA34"/>
      <c r="AB34"/>
      <c r="AC34"/>
      <c r="AD34"/>
      <c r="AE34"/>
      <c r="AF34"/>
      <c r="AG34"/>
      <c r="AH34"/>
      <c r="AI34"/>
      <c r="AJ34"/>
      <c r="AK34"/>
      <c r="AL34"/>
      <c r="AM34"/>
      <c r="AP34"/>
      <c r="AQ34"/>
      <c r="AR34"/>
      <c r="AS34"/>
      <c r="AT34"/>
      <c r="AU34"/>
      <c r="AV34"/>
      <c r="AW34"/>
      <c r="AX34"/>
      <c r="AY34"/>
      <c r="AZ34"/>
      <c r="BA34"/>
      <c r="BB34"/>
      <c r="BC34"/>
      <c r="BD34"/>
    </row>
    <row r="35" spans="1:56" ht="63.75">
      <c r="A35" s="525" t="s">
        <v>259</v>
      </c>
      <c r="B35" s="235" t="s">
        <v>260</v>
      </c>
      <c r="C35" s="83" t="s">
        <v>261</v>
      </c>
      <c r="D35" s="269">
        <v>1646592</v>
      </c>
      <c r="E35" s="268">
        <v>1444522.6666666667</v>
      </c>
      <c r="F35" s="37"/>
    </row>
    <row r="36" spans="1:56" ht="25.5">
      <c r="A36" s="526"/>
      <c r="B36" s="236" t="s">
        <v>170</v>
      </c>
      <c r="C36" s="84" t="s">
        <v>262</v>
      </c>
      <c r="D36" s="269">
        <f>5.41227*1024</f>
        <v>5542.1644800000004</v>
      </c>
      <c r="E36" s="269">
        <f>6.05544*1024</f>
        <v>6200.7705599999999</v>
      </c>
      <c r="F36" s="37"/>
      <c r="G36">
        <f>((G15-G13)/(G12*G6*G8))*1024</f>
        <v>4554.1408805946621</v>
      </c>
      <c r="H36">
        <f>((H15-H13)/(H12*H6*H8))*1024</f>
        <v>4445.1685158912051</v>
      </c>
      <c r="I36">
        <f>((I15-I13)/(I12*I6*I8))*1024</f>
        <v>4370.7156559593532</v>
      </c>
      <c r="J36">
        <f t="shared" ref="J36:R36" si="0">((J15-J13)/(J12*J6*J8))*1024</f>
        <v>4547.3363163447193</v>
      </c>
      <c r="K36">
        <f t="shared" si="0"/>
        <v>4691.1261959329186</v>
      </c>
      <c r="L36">
        <f t="shared" si="0"/>
        <v>4853.8397177052639</v>
      </c>
      <c r="M36">
        <f t="shared" si="0"/>
        <v>4407.4950707555754</v>
      </c>
      <c r="N36">
        <f t="shared" si="0"/>
        <v>4111.8690385245009</v>
      </c>
      <c r="O36">
        <f t="shared" si="0"/>
        <v>2795.8563789152026</v>
      </c>
      <c r="P36">
        <f t="shared" si="0"/>
        <v>4964.2524646222128</v>
      </c>
      <c r="Q36">
        <f t="shared" si="0"/>
        <v>4554.1408805946621</v>
      </c>
      <c r="R36">
        <f t="shared" si="0"/>
        <v>4371.0633344246789</v>
      </c>
    </row>
    <row r="37" spans="1:56" ht="25.5">
      <c r="A37" s="526"/>
      <c r="B37" s="236" t="s">
        <v>263</v>
      </c>
      <c r="C37" s="84" t="s">
        <v>264</v>
      </c>
      <c r="D37" s="270">
        <v>1.5299999999999999E-3</v>
      </c>
      <c r="E37" s="270">
        <v>1.1100000000000001E-3</v>
      </c>
      <c r="F37" s="37"/>
    </row>
    <row r="38" spans="1:56" ht="26.25" thickBot="1">
      <c r="A38" s="526"/>
      <c r="B38" s="236" t="s">
        <v>265</v>
      </c>
      <c r="C38" s="84" t="s">
        <v>264</v>
      </c>
      <c r="D38" s="270">
        <v>4.8799999999999998E-3</v>
      </c>
      <c r="E38" s="270">
        <v>5.1599999999999997E-3</v>
      </c>
      <c r="F38" s="37"/>
    </row>
    <row r="39" spans="1:56" ht="64.5" thickBot="1">
      <c r="A39" s="526"/>
      <c r="B39" s="236" t="s">
        <v>266</v>
      </c>
      <c r="C39" s="83" t="s">
        <v>267</v>
      </c>
      <c r="D39" s="273">
        <v>8.781975001428605E-5</v>
      </c>
      <c r="E39" s="268"/>
      <c r="F39" s="37"/>
    </row>
    <row r="40" spans="1:56" ht="64.5" thickBot="1">
      <c r="A40" s="526"/>
      <c r="B40" s="236" t="s">
        <v>268</v>
      </c>
      <c r="C40" s="83" t="s">
        <v>269</v>
      </c>
      <c r="D40" s="274">
        <v>7.3922845682369593E-4</v>
      </c>
      <c r="E40" s="268"/>
      <c r="F40" s="37"/>
    </row>
    <row r="41" spans="1:56" ht="64.5" thickBot="1">
      <c r="A41" s="526"/>
      <c r="B41" s="236" t="s">
        <v>270</v>
      </c>
      <c r="C41" s="83" t="s">
        <v>271</v>
      </c>
      <c r="D41" s="274">
        <v>4.3610163064088017E-4</v>
      </c>
      <c r="E41" s="268"/>
      <c r="F41" s="37"/>
    </row>
    <row r="42" spans="1:56" ht="64.5" thickBot="1">
      <c r="A42" s="526"/>
      <c r="B42" s="236" t="s">
        <v>272</v>
      </c>
      <c r="C42" s="83" t="s">
        <v>267</v>
      </c>
      <c r="D42" s="28"/>
      <c r="E42" s="268"/>
      <c r="F42" s="37"/>
    </row>
    <row r="43" spans="1:56" ht="63.75">
      <c r="A43" s="526"/>
      <c r="B43" s="236" t="s">
        <v>283</v>
      </c>
      <c r="C43" s="83" t="s">
        <v>267</v>
      </c>
      <c r="D43" s="28"/>
      <c r="E43" s="268"/>
      <c r="F43" s="37"/>
    </row>
    <row r="44" spans="1:56">
      <c r="A44" s="526"/>
      <c r="B44" s="236"/>
      <c r="C44" s="90"/>
      <c r="D44" s="86"/>
      <c r="E44" s="86"/>
      <c r="F44" s="37"/>
    </row>
    <row r="45" spans="1:56">
      <c r="A45" s="526"/>
      <c r="B45" s="236"/>
      <c r="C45" s="90"/>
      <c r="D45" s="86"/>
      <c r="E45" s="86"/>
      <c r="F45" s="37"/>
    </row>
    <row r="46" spans="1:56">
      <c r="A46" s="526"/>
      <c r="B46" s="236"/>
      <c r="C46" s="90"/>
      <c r="D46" s="86"/>
      <c r="E46" s="86"/>
      <c r="F46" s="37"/>
    </row>
    <row r="47" spans="1:56">
      <c r="A47" s="526"/>
      <c r="B47" s="236"/>
      <c r="C47" s="90"/>
      <c r="D47" s="86"/>
      <c r="E47" s="86"/>
      <c r="F47" s="37"/>
    </row>
    <row r="48" spans="1:56">
      <c r="A48" s="526"/>
      <c r="B48" s="236"/>
      <c r="C48" s="90"/>
      <c r="D48" s="86"/>
      <c r="E48" s="86"/>
      <c r="F48" s="37"/>
    </row>
    <row r="49" spans="1:56">
      <c r="A49" s="526"/>
      <c r="B49" s="236"/>
      <c r="C49" s="84"/>
      <c r="D49" s="86"/>
      <c r="E49" s="86"/>
      <c r="F49" s="37"/>
    </row>
    <row r="50" spans="1:56" ht="13.5" thickBot="1">
      <c r="A50" s="527"/>
      <c r="B50" s="238"/>
      <c r="C50" s="88"/>
      <c r="D50" s="82"/>
      <c r="E50" s="82"/>
      <c r="F50" s="37"/>
      <c r="G50" s="38"/>
      <c r="H50" s="38"/>
      <c r="I50" s="38"/>
      <c r="J50" s="38"/>
      <c r="K50" s="38"/>
      <c r="L50" s="38"/>
      <c r="M50" s="38"/>
      <c r="N50" s="38"/>
      <c r="O50" s="38"/>
      <c r="P50" s="38"/>
      <c r="Q50" s="38"/>
      <c r="R50" s="38"/>
      <c r="S50" s="38"/>
      <c r="T50" s="38"/>
      <c r="V50" s="38"/>
      <c r="W50" s="38"/>
      <c r="X50" s="38"/>
      <c r="Y50" s="38"/>
      <c r="Z50" s="38"/>
      <c r="AA50" s="38"/>
      <c r="AB50" s="38"/>
      <c r="AC50" s="38"/>
      <c r="AD50" s="38"/>
      <c r="AE50" s="38"/>
      <c r="AF50" s="38"/>
      <c r="AG50" s="38"/>
      <c r="AH50" s="38"/>
      <c r="AI50" s="38"/>
      <c r="AK50" s="38"/>
      <c r="AL50" s="38"/>
      <c r="AM50" s="38"/>
      <c r="AP50" s="38"/>
      <c r="AQ50" s="38"/>
      <c r="AR50" s="38"/>
      <c r="AS50" s="38"/>
      <c r="AT50" s="38"/>
      <c r="AU50" s="38"/>
      <c r="AV50" s="38"/>
      <c r="AW50" s="38"/>
      <c r="AX50" s="38"/>
      <c r="AY50" s="38"/>
      <c r="AZ50" s="38"/>
      <c r="BA50" s="38"/>
      <c r="BB50" s="38"/>
      <c r="BC50" s="38"/>
      <c r="BD50" s="38"/>
    </row>
    <row r="51" spans="1:56" ht="5.25" customHeight="1" thickBot="1">
      <c r="A51" s="79"/>
      <c r="B51" s="239"/>
      <c r="C51" s="89"/>
      <c r="D51" s="89"/>
      <c r="E51" s="89"/>
      <c r="F51" s="37"/>
      <c r="G51" s="38"/>
      <c r="H51" s="38"/>
      <c r="I51" s="38"/>
      <c r="J51" s="38"/>
      <c r="K51" s="38"/>
      <c r="L51" s="38"/>
      <c r="M51" s="38"/>
      <c r="N51" s="38"/>
      <c r="O51" s="38"/>
      <c r="P51" s="38"/>
      <c r="Q51" s="38"/>
      <c r="R51" s="38"/>
      <c r="S51" s="38"/>
      <c r="T51" s="38"/>
      <c r="V51" s="38"/>
      <c r="W51" s="38"/>
      <c r="X51" s="38"/>
      <c r="Y51" s="38"/>
      <c r="Z51" s="38"/>
      <c r="AA51" s="38"/>
      <c r="AB51" s="38"/>
      <c r="AC51" s="38"/>
      <c r="AD51" s="38"/>
      <c r="AE51" s="38"/>
      <c r="AF51" s="38"/>
      <c r="AG51" s="38"/>
      <c r="AH51" s="38"/>
      <c r="AI51" s="38"/>
      <c r="AK51" s="38"/>
      <c r="AL51" s="38"/>
      <c r="AM51" s="38"/>
      <c r="AP51" s="38"/>
      <c r="AQ51" s="38"/>
      <c r="AR51" s="38"/>
      <c r="AS51" s="38"/>
      <c r="AT51" s="38"/>
      <c r="AU51" s="38"/>
      <c r="AV51" s="38"/>
      <c r="AW51" s="38"/>
      <c r="AX51" s="38"/>
      <c r="AY51" s="38"/>
      <c r="AZ51" s="38"/>
      <c r="BA51" s="38"/>
      <c r="BB51" s="38"/>
      <c r="BC51" s="38"/>
      <c r="BD51" s="38"/>
    </row>
    <row r="52" spans="1:56" s="58" customFormat="1" ht="26.25" customHeight="1" thickBot="1">
      <c r="A52" s="532" t="s">
        <v>274</v>
      </c>
      <c r="B52" s="533"/>
      <c r="C52" s="533"/>
      <c r="D52" s="533"/>
      <c r="E52" s="534"/>
      <c r="F52" s="89"/>
      <c r="G52" s="122"/>
      <c r="H52" s="122"/>
      <c r="I52" s="122"/>
      <c r="J52" s="122"/>
      <c r="K52" s="122"/>
      <c r="L52" s="122"/>
      <c r="M52" s="122"/>
      <c r="N52" s="122"/>
      <c r="O52" s="122"/>
      <c r="P52" s="122"/>
      <c r="Q52" s="122"/>
      <c r="R52" s="122"/>
      <c r="S52" s="122"/>
      <c r="T52" s="122"/>
      <c r="V52" s="123"/>
      <c r="W52" s="123"/>
      <c r="X52" s="123"/>
      <c r="Y52" s="123"/>
      <c r="Z52" s="123"/>
      <c r="AA52" s="123"/>
      <c r="AB52" s="123"/>
      <c r="AC52" s="123"/>
      <c r="AD52" s="123"/>
      <c r="AE52" s="123"/>
      <c r="AF52" s="123"/>
      <c r="AG52" s="123"/>
      <c r="AH52" s="123"/>
      <c r="AI52" s="123"/>
      <c r="AK52" s="122"/>
      <c r="AL52" s="122"/>
      <c r="AM52" s="122"/>
      <c r="AP52" s="122"/>
      <c r="AQ52" s="122"/>
      <c r="AR52" s="122"/>
      <c r="AS52" s="122"/>
      <c r="AT52" s="122"/>
      <c r="AU52" s="122"/>
      <c r="AV52" s="122"/>
      <c r="AW52" s="122"/>
      <c r="AX52" s="122"/>
      <c r="AY52" s="122"/>
      <c r="AZ52" s="122"/>
      <c r="BA52" s="122"/>
      <c r="BB52" s="122"/>
      <c r="BC52" s="122"/>
      <c r="BD52" s="122"/>
    </row>
    <row r="53" spans="1:56" s="58" customFormat="1" ht="25.5" customHeight="1">
      <c r="A53" s="507" t="s">
        <v>234</v>
      </c>
      <c r="B53" s="240" t="s">
        <v>235</v>
      </c>
      <c r="C53" s="91"/>
      <c r="D53" s="92">
        <f>D10*D6/D18</f>
        <v>92.2027972027972</v>
      </c>
      <c r="E53" s="92"/>
      <c r="F53" s="92"/>
      <c r="G53" s="92">
        <f t="shared" ref="G53:O53" si="1">G10*G6/G18</f>
        <v>62.488151658767769</v>
      </c>
      <c r="H53" s="92">
        <f t="shared" si="1"/>
        <v>74.914772727272734</v>
      </c>
      <c r="I53" s="92">
        <f>I10*I6/I18</f>
        <v>74.073033707865164</v>
      </c>
      <c r="J53" s="92">
        <f t="shared" si="1"/>
        <v>41.505771248688355</v>
      </c>
      <c r="K53" s="92">
        <f t="shared" si="1"/>
        <v>31.268774703557312</v>
      </c>
      <c r="L53" s="92">
        <f t="shared" si="1"/>
        <v>44.923339011925044</v>
      </c>
      <c r="M53" s="92">
        <f t="shared" si="1"/>
        <v>68.493506493506487</v>
      </c>
      <c r="N53" s="92">
        <f t="shared" si="1"/>
        <v>71.950886766712145</v>
      </c>
      <c r="O53" s="92">
        <f t="shared" si="1"/>
        <v>44.923339011925044</v>
      </c>
      <c r="P53" s="92">
        <f>P10*P6/P18</f>
        <v>44.023372287145243</v>
      </c>
      <c r="Q53" s="92">
        <f>Q10*Q6/Q18</f>
        <v>62.488151658767769</v>
      </c>
      <c r="R53" s="92">
        <f>R10*R6/R18</f>
        <v>62.537549407114625</v>
      </c>
      <c r="S53" s="92" t="e">
        <f>S10*S6/S18</f>
        <v>#DIV/0!</v>
      </c>
      <c r="T53" s="92" t="e">
        <f>T10*T6/T18</f>
        <v>#DIV/0!</v>
      </c>
      <c r="V53" s="92">
        <f>V10*V6/V18</f>
        <v>52.84569138276553</v>
      </c>
      <c r="W53" s="92">
        <f>W10*W6/W18</f>
        <v>84.519230769230774</v>
      </c>
      <c r="X53" s="92">
        <f>X10*X6/X18</f>
        <v>46.507936507936506</v>
      </c>
      <c r="Y53" s="92">
        <f>Y10*Y6/Y18</f>
        <v>40.413793103448278</v>
      </c>
      <c r="Z53" s="92">
        <f>Z10*Z6/Z18</f>
        <v>95.77481840193704</v>
      </c>
      <c r="AA53" s="92">
        <f t="shared" ref="AA53:AH53" si="2">AA10*AA6/AA18</f>
        <v>88.86267902274642</v>
      </c>
      <c r="AB53" s="288">
        <f t="shared" si="2"/>
        <v>9.7580831675840702</v>
      </c>
      <c r="AC53" s="92">
        <f t="shared" si="2"/>
        <v>33.155909471919529</v>
      </c>
      <c r="AD53" s="92">
        <f t="shared" si="2"/>
        <v>28.70464441219158</v>
      </c>
      <c r="AE53" s="92" t="e">
        <f t="shared" si="2"/>
        <v>#DIV/0!</v>
      </c>
      <c r="AF53" s="92">
        <f t="shared" si="2"/>
        <v>50.809248554913296</v>
      </c>
      <c r="AG53" s="92">
        <f>AG10*AG6/AG18</f>
        <v>59.214071856287426</v>
      </c>
      <c r="AH53" s="92">
        <f t="shared" si="2"/>
        <v>60.57427258805513</v>
      </c>
      <c r="AI53" s="92">
        <f>AI10*AI6/AI18</f>
        <v>95.890909090909091</v>
      </c>
      <c r="AJ53" s="58">
        <f>GEOMEAN(AG53:AH53)</f>
        <v>59.890310816286785</v>
      </c>
      <c r="AK53" s="92">
        <f>AK10*AK6/AK18</f>
        <v>64.897456931911407</v>
      </c>
      <c r="AL53" s="92"/>
      <c r="AM53" s="92"/>
      <c r="AN53" s="58">
        <f>GEOMEAN(AK53:AM53)</f>
        <v>64.897456931911407</v>
      </c>
      <c r="AP53" s="92">
        <f>AP10*AP6/AP18</f>
        <v>67.84734133790738</v>
      </c>
      <c r="AQ53" s="92">
        <f>AQ10*AQ6/AQ18</f>
        <v>82.492179353493228</v>
      </c>
      <c r="AR53" s="92">
        <f>AR10*AR6/AR18</f>
        <v>86.27044711014176</v>
      </c>
      <c r="AS53" s="92">
        <f t="shared" ref="AS53:AY53" si="3">AS10*AS6/AS18</f>
        <v>73.114602587800363</v>
      </c>
      <c r="AT53" s="92">
        <f t="shared" si="3"/>
        <v>44.195530726256983</v>
      </c>
      <c r="AU53" s="92">
        <f t="shared" si="3"/>
        <v>32.289795918367346</v>
      </c>
      <c r="AV53" s="92">
        <f t="shared" si="3"/>
        <v>40.136986301369866</v>
      </c>
      <c r="AW53" s="92">
        <f t="shared" si="3"/>
        <v>72.644628099173559</v>
      </c>
      <c r="AX53" s="92">
        <f t="shared" si="3"/>
        <v>82.021772939346818</v>
      </c>
      <c r="AY53" s="92">
        <f t="shared" si="3"/>
        <v>41.332288401253919</v>
      </c>
      <c r="AZ53" s="92">
        <f>AZ10*AZ6/AZ18</f>
        <v>42.878048780487802</v>
      </c>
      <c r="BA53" s="92">
        <f>BA10*BA6/BA18</f>
        <v>68.434256055363321</v>
      </c>
      <c r="BB53" s="92">
        <f>BB10*BB6/BB18</f>
        <v>67.042372881355931</v>
      </c>
      <c r="BC53" s="92" t="e">
        <f>BC10*BC6/BC18</f>
        <v>#DIV/0!</v>
      </c>
      <c r="BD53" s="92" t="e">
        <f>BD10*BD6/BD18</f>
        <v>#DIV/0!</v>
      </c>
    </row>
    <row r="54" spans="1:56" s="58" customFormat="1" ht="25.5" customHeight="1">
      <c r="A54" s="508"/>
      <c r="B54" s="241" t="s">
        <v>236</v>
      </c>
      <c r="C54" s="93"/>
      <c r="D54" s="82" t="e">
        <f>D11*D5/D20</f>
        <v>#DIV/0!</v>
      </c>
      <c r="E54" s="82"/>
      <c r="F54" s="82"/>
      <c r="G54" s="82">
        <f t="shared" ref="G54:O54" si="4">G11*G5/G20</f>
        <v>73.710073710073715</v>
      </c>
      <c r="H54" s="82">
        <f t="shared" si="4"/>
        <v>95.238095238095241</v>
      </c>
      <c r="I54" s="271">
        <f>I11*I5/I20</f>
        <v>97.719869706840385</v>
      </c>
      <c r="J54" s="82">
        <f t="shared" si="4"/>
        <v>47.770700636942678</v>
      </c>
      <c r="K54" s="82">
        <f t="shared" si="4"/>
        <v>34.562211981566819</v>
      </c>
      <c r="L54" s="82">
        <f t="shared" si="4"/>
        <v>98.039215686274517</v>
      </c>
      <c r="M54" s="82">
        <f t="shared" si="4"/>
        <v>97.087378640776706</v>
      </c>
      <c r="N54" s="82">
        <f t="shared" si="4"/>
        <v>91.463414634146346</v>
      </c>
      <c r="O54" s="82">
        <f t="shared" si="4"/>
        <v>236.22047244094489</v>
      </c>
      <c r="P54" s="82">
        <f>P11*P5/P20</f>
        <v>78.125</v>
      </c>
      <c r="Q54" s="82">
        <f>Q11*Q5/Q20</f>
        <v>73.710073710073715</v>
      </c>
      <c r="R54" s="82">
        <f>R11*R5/R20</f>
        <v>74.074074074074076</v>
      </c>
      <c r="S54" s="82" t="e">
        <f>S11*S5/S20</f>
        <v>#DIV/0!</v>
      </c>
      <c r="T54" s="82" t="e">
        <f>T11*T5/T20</f>
        <v>#DIV/0!</v>
      </c>
      <c r="V54" s="82">
        <f>V11*V5/V18</f>
        <v>20.040080160320642</v>
      </c>
      <c r="W54" s="82">
        <f>W11*W5/W20</f>
        <v>34.482758620689658</v>
      </c>
      <c r="X54" s="82">
        <f>X11*X5/X20</f>
        <v>112.35955056179775</v>
      </c>
      <c r="Y54" s="82">
        <f>Y11*Y5/Y20</f>
        <v>120.96774193548387</v>
      </c>
      <c r="Z54" s="82">
        <f>Z11*Z5/Z20</f>
        <v>104.52961672473867</v>
      </c>
      <c r="AA54" s="82">
        <f t="shared" ref="AA54:AH54" si="5">AA11*AA5/AA20</f>
        <v>104.16666666666667</v>
      </c>
      <c r="AB54" s="82">
        <f t="shared" si="5"/>
        <v>89.552238805970148</v>
      </c>
      <c r="AC54" s="82">
        <f t="shared" si="5"/>
        <v>41.32231404958678</v>
      </c>
      <c r="AD54" s="82">
        <f t="shared" si="5"/>
        <v>31.380753138075313</v>
      </c>
      <c r="AE54" s="82" t="e">
        <f t="shared" si="5"/>
        <v>#DIV/0!</v>
      </c>
      <c r="AF54" s="82">
        <f t="shared" si="5"/>
        <v>116.27906976744185</v>
      </c>
      <c r="AG54" s="82">
        <f>AG11*AG5/AG20</f>
        <v>58.027079303675052</v>
      </c>
      <c r="AH54" s="82">
        <f t="shared" si="5"/>
        <v>68.493150684931507</v>
      </c>
      <c r="AI54" s="82">
        <f>AI11*AI5/AI20</f>
        <v>68.493150684931507</v>
      </c>
      <c r="AJ54" s="58">
        <f t="shared" ref="AJ54:AJ60" si="6">GEOMEAN(AG54:AH54)</f>
        <v>63.043298506289204</v>
      </c>
      <c r="AK54" s="82">
        <f>AK11*AK5/AK20</f>
        <v>77.319587628865975</v>
      </c>
      <c r="AL54" s="82"/>
      <c r="AM54" s="271"/>
      <c r="AN54" s="58">
        <f t="shared" ref="AN54:AN60" si="7">GEOMEAN(AK54:AM54)</f>
        <v>77.319587628865975</v>
      </c>
      <c r="AP54" s="82">
        <f>AP11*AP5/AP20</f>
        <v>63.965884861407247</v>
      </c>
      <c r="AQ54" s="82">
        <f>AQ11*AQ5/AQ20</f>
        <v>101.01010101010101</v>
      </c>
      <c r="AR54" s="271">
        <f>AR11*AR5/AR20</f>
        <v>62.5</v>
      </c>
      <c r="AS54" s="82">
        <f t="shared" ref="AS54:AY54" si="8">AS11*AS5/AS20</f>
        <v>85.959885386819479</v>
      </c>
      <c r="AT54" s="82">
        <f t="shared" si="8"/>
        <v>52.910052910052912</v>
      </c>
      <c r="AU54" s="82">
        <f t="shared" si="8"/>
        <v>37.174721189591075</v>
      </c>
      <c r="AV54" s="82">
        <f t="shared" si="8"/>
        <v>104.89510489510489</v>
      </c>
      <c r="AW54" s="82">
        <f t="shared" si="8"/>
        <v>107.14285714285714</v>
      </c>
      <c r="AX54" s="82">
        <f t="shared" si="8"/>
        <v>100.33444816053512</v>
      </c>
      <c r="AY54" s="82">
        <f t="shared" si="8"/>
        <v>60.975609756097562</v>
      </c>
      <c r="AZ54" s="82">
        <f>AZ11*AZ5/AZ20</f>
        <v>71.942446043165461</v>
      </c>
      <c r="BA54" s="82">
        <f>BA11*BA5/BA20</f>
        <v>58.365758754863812</v>
      </c>
      <c r="BB54" s="82">
        <f>BB11*BB5/BB20</f>
        <v>68.493150684931507</v>
      </c>
      <c r="BC54" s="82" t="e">
        <f>BC11*BC5/BC20</f>
        <v>#DIV/0!</v>
      </c>
      <c r="BD54" s="82" t="e">
        <f>BD11*BD5/BD20</f>
        <v>#DIV/0!</v>
      </c>
    </row>
    <row r="55" spans="1:56" s="58" customFormat="1" ht="25.5" customHeight="1">
      <c r="A55" s="509" t="s">
        <v>243</v>
      </c>
      <c r="B55" s="241" t="s">
        <v>244</v>
      </c>
      <c r="C55" s="93"/>
      <c r="D55" s="82">
        <f>D19/(D10*D6)</f>
        <v>1.571229933004677E-2</v>
      </c>
      <c r="E55" s="82"/>
      <c r="F55" s="82"/>
      <c r="G55" s="82">
        <f t="shared" ref="G55:O55" si="9">G19/(G10*G6)</f>
        <v>1.588926810769814E-2</v>
      </c>
      <c r="H55" s="82">
        <f t="shared" si="9"/>
        <v>1.6723549488054608E-2</v>
      </c>
      <c r="I55" s="82">
        <f>I19/(I10*I6)</f>
        <v>1.6420174440652257E-2</v>
      </c>
      <c r="J55" s="82">
        <f t="shared" si="9"/>
        <v>1.6432815067627355E-2</v>
      </c>
      <c r="K55" s="82">
        <f t="shared" si="9"/>
        <v>1.6230565036025785E-2</v>
      </c>
      <c r="L55" s="82">
        <f t="shared" si="9"/>
        <v>1.3727720894956389E-2</v>
      </c>
      <c r="M55" s="82">
        <f t="shared" si="9"/>
        <v>1.5017064846416382E-2</v>
      </c>
      <c r="N55" s="82">
        <f t="shared" si="9"/>
        <v>1.8117178612059158E-2</v>
      </c>
      <c r="O55" s="82">
        <f t="shared" si="9"/>
        <v>1.3424345847554038E-2</v>
      </c>
      <c r="P55" s="82">
        <f>P19/(P10*P6)</f>
        <v>1.3500189609404627E-2</v>
      </c>
      <c r="Q55" s="82">
        <f>Q19/(Q10*Q6)</f>
        <v>1.588926810769814E-2</v>
      </c>
      <c r="R55" s="82">
        <f>R19/(R10*R6)</f>
        <v>1.5901908734673238E-2</v>
      </c>
      <c r="S55" s="82">
        <f>S19/(S10*S6)</f>
        <v>0</v>
      </c>
      <c r="T55" s="82">
        <f>T19/(T10*T6)</f>
        <v>0</v>
      </c>
      <c r="V55" s="82">
        <f>V19/(V10*V6)</f>
        <v>1.2400455062571104E-2</v>
      </c>
      <c r="W55" s="82">
        <f>W19/(W10*W6)</f>
        <v>1.4258627227910504E-2</v>
      </c>
      <c r="X55" s="82">
        <f>X19/(X10*X6)</f>
        <v>1.3689799014031096E-2</v>
      </c>
      <c r="Y55" s="82">
        <f>Y19/(Y10*Y6)</f>
        <v>1.5168752370117557E-2</v>
      </c>
      <c r="Z55" s="82">
        <f>Z19/(Z10*Z6)</f>
        <v>1.3955252180508153E-2</v>
      </c>
      <c r="AA55" s="82">
        <f t="shared" ref="AA55:AH55" si="10">AA19/(AA10*AA6)</f>
        <v>1.6107318923018581E-2</v>
      </c>
      <c r="AB55" s="289">
        <f t="shared" si="10"/>
        <v>2.388130451270383E-2</v>
      </c>
      <c r="AC55" s="82">
        <f t="shared" si="10"/>
        <v>1.4372392870686385E-2</v>
      </c>
      <c r="AD55" s="82">
        <f t="shared" si="10"/>
        <v>1.5295158639868538E-2</v>
      </c>
      <c r="AE55" s="82">
        <f t="shared" si="10"/>
        <v>0</v>
      </c>
      <c r="AF55" s="82">
        <f t="shared" si="10"/>
        <v>1.285551763367463E-2</v>
      </c>
      <c r="AG55" s="82">
        <f>AG19/(AG10*AG6)</f>
        <v>1.4751611679939325E-2</v>
      </c>
      <c r="AH55" s="82">
        <f t="shared" si="10"/>
        <v>1.4056377196308936E-2</v>
      </c>
      <c r="AI55" s="82">
        <f>AI19/(AI10*AI6)</f>
        <v>1.3904689672607761E-2</v>
      </c>
      <c r="AJ55" s="58">
        <f t="shared" si="6"/>
        <v>1.4399799235638798E-2</v>
      </c>
      <c r="AK55" s="82">
        <f>AK19/(AK10*AK6)</f>
        <v>1.5510049298445202E-2</v>
      </c>
      <c r="AL55" s="82"/>
      <c r="AM55" s="82"/>
      <c r="AN55" s="58">
        <f t="shared" si="7"/>
        <v>1.5510049298445202E-2</v>
      </c>
      <c r="AP55" s="82">
        <f>AP19/(AP10*AP6)</f>
        <v>1.5206674251042851E-2</v>
      </c>
      <c r="AQ55" s="82">
        <f>AQ19/(AQ10*AQ6)</f>
        <v>1.6217924409050687E-2</v>
      </c>
      <c r="AR55" s="82">
        <f>AR19/(AR10*AR6)</f>
        <v>1.5333080520793831E-2</v>
      </c>
      <c r="AS55" s="82">
        <f t="shared" ref="AS55:AY55" si="11">AS19/(AS10*AS6)</f>
        <v>1.5809505751485275E-2</v>
      </c>
      <c r="AT55" s="82">
        <f t="shared" si="11"/>
        <v>1.6028315004424219E-2</v>
      </c>
      <c r="AU55" s="82">
        <f t="shared" si="11"/>
        <v>1.5737580583996966E-2</v>
      </c>
      <c r="AV55" s="82">
        <f t="shared" si="11"/>
        <v>1.4031095942358742E-2</v>
      </c>
      <c r="AW55" s="82">
        <f t="shared" si="11"/>
        <v>1.5225635191505498E-2</v>
      </c>
      <c r="AX55" s="82">
        <f t="shared" si="11"/>
        <v>1.6467576791808873E-2</v>
      </c>
      <c r="AY55" s="82" t="e">
        <f t="shared" si="11"/>
        <v>#VALUE!</v>
      </c>
      <c r="AZ55" s="82">
        <f>AZ19/(AZ10*AZ6)</f>
        <v>1.3955252180508153E-2</v>
      </c>
      <c r="BA55" s="82">
        <f>BA19/(BA10*BA6)</f>
        <v>1.5674377449121476E-2</v>
      </c>
      <c r="BB55" s="82">
        <f>BB19/(BB10*BB6)</f>
        <v>1.5320439893818734E-2</v>
      </c>
      <c r="BC55" s="82">
        <f>BC19/(BC10*BC6)</f>
        <v>0</v>
      </c>
      <c r="BD55" s="82">
        <f>BD19/(BD10*BD6)</f>
        <v>0</v>
      </c>
    </row>
    <row r="56" spans="1:56" s="58" customFormat="1" ht="25.5" customHeight="1">
      <c r="A56" s="508"/>
      <c r="B56" s="241" t="s">
        <v>245</v>
      </c>
      <c r="C56" s="93"/>
      <c r="D56" s="82">
        <f>D21/(D11*D5)</f>
        <v>3.2796666666666668E-3</v>
      </c>
      <c r="E56" s="82"/>
      <c r="F56" s="82"/>
      <c r="G56" s="82">
        <f t="shared" ref="G56:O56" si="12">G21/(G11*G5)</f>
        <v>1.2200000000000001E-2</v>
      </c>
      <c r="H56" s="82">
        <f t="shared" si="12"/>
        <v>1.2366666666666666E-2</v>
      </c>
      <c r="I56" s="82">
        <f>I21/(I11*I5)</f>
        <v>1.2233333333333334E-2</v>
      </c>
      <c r="J56" s="82">
        <f t="shared" si="12"/>
        <v>1.2233333333333334E-2</v>
      </c>
      <c r="K56" s="82">
        <f t="shared" si="12"/>
        <v>1.2566666666666667E-2</v>
      </c>
      <c r="L56" s="82">
        <f t="shared" si="12"/>
        <v>1.2266666666666667E-2</v>
      </c>
      <c r="M56" s="82">
        <f t="shared" si="12"/>
        <v>1.2466666666666666E-2</v>
      </c>
      <c r="N56" s="82">
        <f t="shared" si="12"/>
        <v>1.2633333333333333E-2</v>
      </c>
      <c r="O56" s="82">
        <f t="shared" si="12"/>
        <v>3.7666666666666669E-3</v>
      </c>
      <c r="P56" s="82">
        <f>P21/(P11*P5)</f>
        <v>1.11E-2</v>
      </c>
      <c r="Q56" s="82">
        <f>Q21/(Q11*Q5)</f>
        <v>1.2200000000000001E-2</v>
      </c>
      <c r="R56" s="82">
        <f>R21/(R11*R5)</f>
        <v>1.2166666666666666E-2</v>
      </c>
      <c r="S56" s="82">
        <f>S21/(S11*S5)</f>
        <v>0</v>
      </c>
      <c r="T56" s="82">
        <f>T21/(T11*T5)</f>
        <v>0</v>
      </c>
      <c r="V56" s="82">
        <f>V19/(V11*V5)</f>
        <v>3.27E-2</v>
      </c>
      <c r="W56" s="82">
        <f>W21/(W11*W5)</f>
        <v>1.3599999999999999E-2</v>
      </c>
      <c r="X56" s="82">
        <f>X21/(X11*X5)</f>
        <v>9.7333333333333334E-3</v>
      </c>
      <c r="Y56" s="82">
        <f>Y21/(Y11*Y5)</f>
        <v>9.7333333333333334E-3</v>
      </c>
      <c r="Z56" s="82">
        <f>Z21/(Z11*Z5)</f>
        <v>9.9333333333333339E-3</v>
      </c>
      <c r="AA56" s="82">
        <f t="shared" ref="AA56:AH56" si="13">AA21/(AA11*AA5)</f>
        <v>9.7333333333333334E-3</v>
      </c>
      <c r="AB56" s="82">
        <f t="shared" si="13"/>
        <v>9.8333333333333328E-3</v>
      </c>
      <c r="AC56" s="82">
        <f t="shared" si="13"/>
        <v>9.7666666666666666E-3</v>
      </c>
      <c r="AD56" s="82">
        <f t="shared" si="13"/>
        <v>1.2366666666666666E-2</v>
      </c>
      <c r="AE56" s="82">
        <f t="shared" si="13"/>
        <v>0</v>
      </c>
      <c r="AF56" s="82">
        <f t="shared" si="13"/>
        <v>9.7000000000000003E-3</v>
      </c>
      <c r="AG56" s="82">
        <f>AG21/(AG11*AG5)</f>
        <v>1.17E-2</v>
      </c>
      <c r="AH56" s="82">
        <f t="shared" si="13"/>
        <v>9.8333333333333328E-3</v>
      </c>
      <c r="AI56" s="82">
        <f>AI21/(AI11*AI5)</f>
        <v>9.8666666666666659E-3</v>
      </c>
      <c r="AJ56" s="58">
        <f t="shared" si="6"/>
        <v>1.0726136303441235E-2</v>
      </c>
      <c r="AK56" s="82">
        <f>AK21/(AK11*AK5)</f>
        <v>1.2933333333333333E-2</v>
      </c>
      <c r="AL56" s="82"/>
      <c r="AM56" s="82"/>
      <c r="AN56" s="58">
        <f t="shared" si="7"/>
        <v>1.2933333333333333E-2</v>
      </c>
      <c r="AP56" s="82">
        <f>AP21/(AP11*AP5)</f>
        <v>1.6126666666666668E-2</v>
      </c>
      <c r="AQ56" s="82">
        <f>AQ21/(AQ11*AQ5)</f>
        <v>1.3146333333333333E-2</v>
      </c>
      <c r="AR56" s="82">
        <f>AR21/(AR11*AR5)</f>
        <v>1.8733333333333334E-2</v>
      </c>
      <c r="AS56" s="82">
        <f t="shared" ref="AS56:AY56" si="14">AS21/(AS11*AS5)</f>
        <v>1.3363E-2</v>
      </c>
      <c r="AT56" s="82">
        <f t="shared" si="14"/>
        <v>1.2966666666666666E-2</v>
      </c>
      <c r="AU56" s="82">
        <f t="shared" si="14"/>
        <v>1.3103333333333335E-2</v>
      </c>
      <c r="AV56" s="82">
        <f t="shared" si="14"/>
        <v>1.2786333333333332E-2</v>
      </c>
      <c r="AW56" s="82">
        <f t="shared" si="14"/>
        <v>1.3166666666666667E-2</v>
      </c>
      <c r="AX56" s="82">
        <f t="shared" si="14"/>
        <v>1.3379666666666666E-2</v>
      </c>
      <c r="AY56" s="82" t="e">
        <f t="shared" si="14"/>
        <v>#VALUE!</v>
      </c>
      <c r="AZ56" s="82">
        <f>AZ21/(AZ11*AZ5)</f>
        <v>1.15E-2</v>
      </c>
      <c r="BA56" s="82">
        <f>BA21/(BA11*BA5)</f>
        <v>1.9800000000000002E-2</v>
      </c>
      <c r="BB56" s="82">
        <f>BB21/(BB11*BB5)</f>
        <v>1.3053333333333333E-2</v>
      </c>
      <c r="BC56" s="82">
        <f>BC21/(BC11*BC5)</f>
        <v>0</v>
      </c>
      <c r="BD56" s="82">
        <f>BD21/(BD11*BD5)</f>
        <v>0</v>
      </c>
    </row>
    <row r="57" spans="1:56" s="58" customFormat="1" ht="25.5" customHeight="1">
      <c r="A57" s="510" t="s">
        <v>35</v>
      </c>
      <c r="B57" s="241" t="s">
        <v>237</v>
      </c>
      <c r="C57" s="93"/>
      <c r="D57" s="82">
        <f>D13/1024</f>
        <v>165.33984375</v>
      </c>
      <c r="E57" s="82"/>
      <c r="F57" s="82"/>
      <c r="G57" s="82">
        <f t="shared" ref="G57:O57" si="15">G13/1024</f>
        <v>150.703125</v>
      </c>
      <c r="H57" s="82">
        <f t="shared" si="15"/>
        <v>184.609375</v>
      </c>
      <c r="I57" s="82">
        <f>I13/1024</f>
        <v>162.89453125</v>
      </c>
      <c r="J57" s="82">
        <f t="shared" si="15"/>
        <v>147.34375</v>
      </c>
      <c r="K57" s="82">
        <f t="shared" si="15"/>
        <v>151.2890625</v>
      </c>
      <c r="L57" s="82">
        <f t="shared" si="15"/>
        <v>154.24609375</v>
      </c>
      <c r="M57" s="82">
        <f t="shared" si="15"/>
        <v>155.453125</v>
      </c>
      <c r="N57" s="82">
        <f t="shared" si="15"/>
        <v>174.62109375</v>
      </c>
      <c r="O57" s="82">
        <f t="shared" si="15"/>
        <v>149.26171875</v>
      </c>
      <c r="P57" s="82">
        <f t="shared" ref="P57:T58" si="16">P13/1024</f>
        <v>149.35546875</v>
      </c>
      <c r="Q57" s="82">
        <f t="shared" si="16"/>
        <v>150.703125</v>
      </c>
      <c r="R57" s="82">
        <f t="shared" si="16"/>
        <v>161.015625</v>
      </c>
      <c r="S57" s="82">
        <f t="shared" si="16"/>
        <v>0</v>
      </c>
      <c r="T57" s="82">
        <f t="shared" si="16"/>
        <v>0</v>
      </c>
      <c r="V57" s="82">
        <f t="shared" ref="V57:Y58" si="17">V13/1024</f>
        <v>141.1484375</v>
      </c>
      <c r="W57" s="82">
        <f t="shared" si="17"/>
        <v>143.5625</v>
      </c>
      <c r="X57" s="82">
        <f>X13/1024</f>
        <v>152.72265625</v>
      </c>
      <c r="Y57" s="82">
        <f t="shared" si="17"/>
        <v>156.0390625</v>
      </c>
      <c r="Z57" s="82">
        <f>Z13/1024</f>
        <v>165.78515625</v>
      </c>
      <c r="AA57" s="82">
        <f t="shared" ref="AA57:AF57" si="18">AA13/1024</f>
        <v>166.73046875</v>
      </c>
      <c r="AB57" s="82">
        <f t="shared" si="18"/>
        <v>174.765625</v>
      </c>
      <c r="AC57" s="82">
        <f t="shared" si="18"/>
        <v>166.7421875</v>
      </c>
      <c r="AD57" s="82">
        <f t="shared" si="18"/>
        <v>145.56640625</v>
      </c>
      <c r="AE57" s="82">
        <f t="shared" si="18"/>
        <v>0</v>
      </c>
      <c r="AF57" s="82">
        <f t="shared" si="18"/>
        <v>162.734375</v>
      </c>
      <c r="AG57" s="82">
        <f t="shared" ref="AG57:AI58" si="19">AG13/1024</f>
        <v>165.7890625</v>
      </c>
      <c r="AH57" s="82">
        <f t="shared" si="19"/>
        <v>143.578125</v>
      </c>
      <c r="AI57" s="82">
        <f t="shared" si="19"/>
        <v>164.0078125</v>
      </c>
      <c r="AJ57" s="58">
        <f t="shared" si="6"/>
        <v>154.28442157022144</v>
      </c>
      <c r="AK57" s="82">
        <f>AK13/1024</f>
        <v>189.50390625</v>
      </c>
      <c r="AL57" s="82"/>
      <c r="AM57" s="82"/>
      <c r="AN57" s="58">
        <f t="shared" si="7"/>
        <v>189.50390625</v>
      </c>
      <c r="AP57" s="82">
        <f t="shared" ref="AP57:AR58" si="20">AP13/1024</f>
        <v>166.71875</v>
      </c>
      <c r="AQ57" s="82">
        <f t="shared" si="20"/>
        <v>167.328125</v>
      </c>
      <c r="AR57" s="82">
        <f t="shared" si="20"/>
        <v>166.9609375</v>
      </c>
      <c r="AS57" s="82">
        <f t="shared" ref="AS57:BD57" si="21">AS13/1024</f>
        <v>166.9765625</v>
      </c>
      <c r="AT57" s="82">
        <f t="shared" si="21"/>
        <v>166.84375</v>
      </c>
      <c r="AU57" s="82">
        <f t="shared" si="21"/>
        <v>167.12890625</v>
      </c>
      <c r="AV57" s="82">
        <f t="shared" si="21"/>
        <v>164.34765625</v>
      </c>
      <c r="AW57" s="82">
        <f t="shared" si="21"/>
        <v>165.33203125</v>
      </c>
      <c r="AX57" s="82">
        <f t="shared" si="21"/>
        <v>168.53125</v>
      </c>
      <c r="AY57" s="82">
        <f t="shared" si="21"/>
        <v>164.328125</v>
      </c>
      <c r="AZ57" s="82">
        <f t="shared" si="21"/>
        <v>157.56640625</v>
      </c>
      <c r="BA57" s="82">
        <f t="shared" si="21"/>
        <v>166.75</v>
      </c>
      <c r="BB57" s="82">
        <f t="shared" si="21"/>
        <v>167.2578125</v>
      </c>
      <c r="BC57" s="82">
        <f t="shared" si="21"/>
        <v>0</v>
      </c>
      <c r="BD57" s="82">
        <f t="shared" si="21"/>
        <v>0</v>
      </c>
    </row>
    <row r="58" spans="1:56" s="58" customFormat="1" ht="25.5" customHeight="1">
      <c r="A58" s="511"/>
      <c r="B58" s="241" t="s">
        <v>238</v>
      </c>
      <c r="C58" s="93"/>
      <c r="D58" s="82">
        <f>D14/1024</f>
        <v>0</v>
      </c>
      <c r="E58" s="82"/>
      <c r="F58" s="82"/>
      <c r="G58" s="82">
        <f t="shared" ref="G58:O58" si="22">G14/1024</f>
        <v>1180.74609375</v>
      </c>
      <c r="H58" s="82">
        <f t="shared" si="22"/>
        <v>1210.1953125</v>
      </c>
      <c r="I58" s="82">
        <f>I14/1024</f>
        <v>1149.73828125</v>
      </c>
      <c r="J58" s="82">
        <f t="shared" si="22"/>
        <v>1146.7265625</v>
      </c>
      <c r="K58" s="82">
        <f t="shared" si="22"/>
        <v>1209.359375</v>
      </c>
      <c r="L58" s="82">
        <f t="shared" si="22"/>
        <v>544.94921875</v>
      </c>
      <c r="M58" s="82">
        <f t="shared" si="22"/>
        <v>812.83203125</v>
      </c>
      <c r="N58" s="82">
        <f t="shared" si="22"/>
        <v>1444.94140625</v>
      </c>
      <c r="O58" s="82">
        <f t="shared" si="22"/>
        <v>513.14453125</v>
      </c>
      <c r="P58" s="82">
        <f t="shared" si="16"/>
        <v>497.52734375</v>
      </c>
      <c r="Q58" s="82">
        <f t="shared" si="16"/>
        <v>1180.74609375</v>
      </c>
      <c r="R58" s="82">
        <f t="shared" si="16"/>
        <v>1128.2265625</v>
      </c>
      <c r="S58" s="82">
        <f t="shared" si="16"/>
        <v>0</v>
      </c>
      <c r="T58" s="82">
        <f t="shared" si="16"/>
        <v>0</v>
      </c>
      <c r="V58" s="82">
        <f t="shared" si="17"/>
        <v>505.0390625</v>
      </c>
      <c r="W58" s="82">
        <f t="shared" si="17"/>
        <v>1139.453125</v>
      </c>
      <c r="X58" s="82">
        <f>X14/1024</f>
        <v>579.8515625</v>
      </c>
      <c r="Y58" s="82">
        <f t="shared" si="17"/>
        <v>812.0703125</v>
      </c>
      <c r="Z58" s="82">
        <f>Z14/1024</f>
        <v>1144.71484375</v>
      </c>
      <c r="AA58" s="82">
        <f t="shared" ref="AA58:AF58" si="23">AA14/1024</f>
        <v>1455.78515625</v>
      </c>
      <c r="AB58" s="82">
        <f t="shared" si="23"/>
        <v>2740.10546875</v>
      </c>
      <c r="AC58" s="82">
        <f t="shared" si="23"/>
        <v>1148.00390625</v>
      </c>
      <c r="AD58" s="82">
        <f t="shared" si="23"/>
        <v>1149.50390625</v>
      </c>
      <c r="AE58" s="82">
        <f t="shared" si="23"/>
        <v>0</v>
      </c>
      <c r="AF58" s="82">
        <f t="shared" si="23"/>
        <v>591.91796875</v>
      </c>
      <c r="AG58" s="82">
        <f t="shared" si="19"/>
        <v>1161.48046875</v>
      </c>
      <c r="AH58" s="82">
        <f t="shared" si="19"/>
        <v>1142.140625</v>
      </c>
      <c r="AI58" s="82">
        <f t="shared" si="19"/>
        <v>1155.67578125</v>
      </c>
      <c r="AJ58" s="58">
        <f t="shared" si="6"/>
        <v>1151.7699546799342</v>
      </c>
      <c r="AK58" s="82">
        <f>AK14/1024</f>
        <v>1405.58984375</v>
      </c>
      <c r="AL58" s="82"/>
      <c r="AM58" s="82"/>
      <c r="AN58" s="58">
        <f t="shared" si="7"/>
        <v>1405.58984375</v>
      </c>
      <c r="AP58" s="82">
        <f t="shared" si="20"/>
        <v>1383.03515625</v>
      </c>
      <c r="AQ58" s="82">
        <f t="shared" si="20"/>
        <v>1395.69921875</v>
      </c>
      <c r="AR58" s="82">
        <f t="shared" si="20"/>
        <v>1383.82421875</v>
      </c>
      <c r="AS58" s="82">
        <f t="shared" ref="AS58:BD58" si="24">AS14/1024</f>
        <v>1380.56640625</v>
      </c>
      <c r="AT58" s="82">
        <f t="shared" si="24"/>
        <v>1393.5078125</v>
      </c>
      <c r="AU58" s="82">
        <f t="shared" si="24"/>
        <v>1380.58984375</v>
      </c>
      <c r="AV58" s="82">
        <f t="shared" si="24"/>
        <v>719.20703125</v>
      </c>
      <c r="AW58" s="82">
        <f t="shared" si="24"/>
        <v>999.8125</v>
      </c>
      <c r="AX58" s="82">
        <f t="shared" si="24"/>
        <v>1768.046875</v>
      </c>
      <c r="AY58" s="82">
        <f t="shared" si="24"/>
        <v>717.01171875</v>
      </c>
      <c r="AZ58" s="82">
        <f t="shared" si="24"/>
        <v>597.5546875</v>
      </c>
      <c r="BA58" s="82">
        <f t="shared" si="24"/>
        <v>1382.65625</v>
      </c>
      <c r="BB58" s="82">
        <f t="shared" si="24"/>
        <v>1377.203125</v>
      </c>
      <c r="BC58" s="82">
        <f t="shared" si="24"/>
        <v>0</v>
      </c>
      <c r="BD58" s="82">
        <f t="shared" si="24"/>
        <v>0</v>
      </c>
    </row>
    <row r="59" spans="1:56" s="58" customFormat="1" ht="25.5" customHeight="1">
      <c r="A59" s="509" t="s">
        <v>36</v>
      </c>
      <c r="B59" s="241" t="s">
        <v>237</v>
      </c>
      <c r="C59" s="93"/>
      <c r="D59" s="82">
        <f>D25/1024</f>
        <v>0</v>
      </c>
      <c r="E59" s="82"/>
      <c r="F59" s="82"/>
      <c r="G59" s="82">
        <f t="shared" ref="G59:O59" si="25">G25/1024</f>
        <v>141.375</v>
      </c>
      <c r="H59" s="82">
        <f t="shared" si="25"/>
        <v>153.51171875</v>
      </c>
      <c r="I59" s="82">
        <f>I25/1024</f>
        <v>149.42578125</v>
      </c>
      <c r="J59" s="82">
        <f t="shared" si="25"/>
        <v>155.0703125</v>
      </c>
      <c r="K59" s="82">
        <f t="shared" si="25"/>
        <v>145.109375</v>
      </c>
      <c r="L59" s="82">
        <f t="shared" si="25"/>
        <v>162.890625</v>
      </c>
      <c r="M59" s="82">
        <f t="shared" si="25"/>
        <v>146.2890625</v>
      </c>
      <c r="N59" s="82">
        <f t="shared" si="25"/>
        <v>151.74609375</v>
      </c>
      <c r="O59" s="82">
        <f t="shared" si="25"/>
        <v>159.125</v>
      </c>
      <c r="P59" s="82">
        <f t="shared" ref="P59:T60" si="26">P25/1024</f>
        <v>146.30078125</v>
      </c>
      <c r="Q59" s="82">
        <f t="shared" si="26"/>
        <v>141.375</v>
      </c>
      <c r="R59" s="82">
        <f t="shared" si="26"/>
        <v>143.35546875</v>
      </c>
      <c r="S59" s="82">
        <f t="shared" si="26"/>
        <v>0</v>
      </c>
      <c r="T59" s="82">
        <f t="shared" si="26"/>
        <v>0</v>
      </c>
      <c r="V59" s="82">
        <f t="shared" ref="V59:Y60" si="27">V25/1024</f>
        <v>141.64453125</v>
      </c>
      <c r="W59" s="82">
        <f t="shared" si="27"/>
        <v>153.48046875</v>
      </c>
      <c r="X59" s="82">
        <f>X25/1024</f>
        <v>153.35546875</v>
      </c>
      <c r="Y59" s="82">
        <f t="shared" si="27"/>
        <v>141.703125</v>
      </c>
      <c r="Z59" s="82">
        <f>Z25/1024</f>
        <v>153.60546875</v>
      </c>
      <c r="AA59" s="82">
        <f t="shared" ref="AA59:AF59" si="28">AA25/1024</f>
        <v>156.421875</v>
      </c>
      <c r="AB59" s="82">
        <f t="shared" si="28"/>
        <v>164.140625</v>
      </c>
      <c r="AC59" s="82">
        <f t="shared" si="28"/>
        <v>142.03515625</v>
      </c>
      <c r="AD59" s="82">
        <f t="shared" si="28"/>
        <v>150.484375</v>
      </c>
      <c r="AE59" s="82">
        <f t="shared" si="28"/>
        <v>0</v>
      </c>
      <c r="AF59" s="82">
        <f t="shared" si="28"/>
        <v>143.74609375</v>
      </c>
      <c r="AG59" s="82">
        <f>AG25/1024</f>
        <v>153.8046875</v>
      </c>
      <c r="AH59" s="82">
        <f>AH13/1024</f>
        <v>143.578125</v>
      </c>
      <c r="AI59" s="82">
        <f>AI13/1024</f>
        <v>164.0078125</v>
      </c>
      <c r="AJ59" s="58">
        <f t="shared" si="6"/>
        <v>148.60346108843137</v>
      </c>
      <c r="AK59" s="82">
        <f>AK25/1024</f>
        <v>153.97265625</v>
      </c>
      <c r="AL59" s="82"/>
      <c r="AM59" s="82"/>
      <c r="AN59" s="58">
        <f t="shared" si="7"/>
        <v>153.97265625</v>
      </c>
      <c r="AP59" s="82">
        <f t="shared" ref="AP59:AR60" si="29">AP25/1024</f>
        <v>153.3359375</v>
      </c>
      <c r="AQ59" s="82">
        <f t="shared" si="29"/>
        <v>152.95703125</v>
      </c>
      <c r="AR59" s="82">
        <f t="shared" si="29"/>
        <v>153.23828125</v>
      </c>
      <c r="AS59" s="82">
        <f t="shared" ref="AS59:BD59" si="30">AS25/1024</f>
        <v>152.7265625</v>
      </c>
      <c r="AT59" s="82">
        <f t="shared" si="30"/>
        <v>153.17578125</v>
      </c>
      <c r="AU59" s="82">
        <f t="shared" si="30"/>
        <v>153.48828125</v>
      </c>
      <c r="AV59" s="82">
        <f t="shared" si="30"/>
        <v>152.671875</v>
      </c>
      <c r="AW59" s="82">
        <f t="shared" si="30"/>
        <v>152.8828125</v>
      </c>
      <c r="AX59" s="82">
        <f t="shared" si="30"/>
        <v>152.9140625</v>
      </c>
      <c r="AY59" s="82">
        <f t="shared" si="30"/>
        <v>158.484375</v>
      </c>
      <c r="AZ59" s="82">
        <f t="shared" si="30"/>
        <v>153.62890625</v>
      </c>
      <c r="BA59" s="82">
        <f t="shared" si="30"/>
        <v>151.8125</v>
      </c>
      <c r="BB59" s="82">
        <f t="shared" si="30"/>
        <v>152.25</v>
      </c>
      <c r="BC59" s="82">
        <f t="shared" si="30"/>
        <v>0</v>
      </c>
      <c r="BD59" s="82">
        <f t="shared" si="30"/>
        <v>0</v>
      </c>
    </row>
    <row r="60" spans="1:56" s="58" customFormat="1" ht="25.5" customHeight="1" thickBot="1">
      <c r="A60" s="507"/>
      <c r="B60" s="242" t="s">
        <v>238</v>
      </c>
      <c r="C60" s="94"/>
      <c r="D60" s="95">
        <f>D26/1024</f>
        <v>0</v>
      </c>
      <c r="E60" s="95"/>
      <c r="F60" s="95"/>
      <c r="G60" s="95">
        <f t="shared" ref="G60:O60" si="31">G26/1024</f>
        <v>684.9921875</v>
      </c>
      <c r="H60" s="95">
        <f t="shared" si="31"/>
        <v>668.65234375</v>
      </c>
      <c r="I60" s="95">
        <f>I26/1024</f>
        <v>678.9921875</v>
      </c>
      <c r="J60" s="95">
        <f t="shared" si="31"/>
        <v>725.7421875</v>
      </c>
      <c r="K60" s="95">
        <f t="shared" si="31"/>
        <v>717.08984375</v>
      </c>
      <c r="L60" s="95">
        <f t="shared" si="31"/>
        <v>413.88671875</v>
      </c>
      <c r="M60" s="95">
        <f t="shared" si="31"/>
        <v>505.92578125</v>
      </c>
      <c r="N60" s="95">
        <f t="shared" si="31"/>
        <v>834.71875</v>
      </c>
      <c r="O60" s="95">
        <f t="shared" si="31"/>
        <v>347.88671875</v>
      </c>
      <c r="P60" s="95">
        <f t="shared" si="26"/>
        <v>328.94140625</v>
      </c>
      <c r="Q60" s="95">
        <f t="shared" si="26"/>
        <v>684.9921875</v>
      </c>
      <c r="R60" s="95">
        <f t="shared" si="26"/>
        <v>707.01171875</v>
      </c>
      <c r="S60" s="95">
        <f t="shared" si="26"/>
        <v>0</v>
      </c>
      <c r="T60" s="95">
        <f t="shared" si="26"/>
        <v>0</v>
      </c>
      <c r="V60" s="95">
        <f t="shared" si="27"/>
        <v>341</v>
      </c>
      <c r="W60" s="95">
        <f t="shared" si="27"/>
        <v>673.5390625</v>
      </c>
      <c r="X60" s="95">
        <f>X26/1024</f>
        <v>421.72265625</v>
      </c>
      <c r="Y60" s="95">
        <f t="shared" si="27"/>
        <v>544.28515625</v>
      </c>
      <c r="Z60" s="95">
        <f>Z26/1024</f>
        <v>698.35546875</v>
      </c>
      <c r="AA60" s="95">
        <f t="shared" ref="AA60:AF60" si="32">AA26/1024</f>
        <v>839.90234375</v>
      </c>
      <c r="AB60" s="95">
        <f t="shared" si="32"/>
        <v>1491.87109375</v>
      </c>
      <c r="AC60" s="95">
        <f t="shared" si="32"/>
        <v>700.67578125</v>
      </c>
      <c r="AD60" s="95">
        <f t="shared" si="32"/>
        <v>706.265625</v>
      </c>
      <c r="AE60" s="95">
        <f t="shared" si="32"/>
        <v>0</v>
      </c>
      <c r="AF60" s="95">
        <f t="shared" si="32"/>
        <v>420.6796875</v>
      </c>
      <c r="AG60" s="95">
        <f>AG26/1024</f>
        <v>771.26953125</v>
      </c>
      <c r="AH60" s="95">
        <f>AH14/1024</f>
        <v>1142.140625</v>
      </c>
      <c r="AI60" s="95">
        <f>AI14/1024</f>
        <v>1155.67578125</v>
      </c>
      <c r="AJ60" s="58">
        <f t="shared" si="6"/>
        <v>938.56180641731419</v>
      </c>
      <c r="AK60" s="95">
        <f>AK26/1024</f>
        <v>675.015625</v>
      </c>
      <c r="AL60" s="95"/>
      <c r="AM60" s="95"/>
      <c r="AN60" s="58">
        <f t="shared" si="7"/>
        <v>675.015625</v>
      </c>
      <c r="AP60" s="95">
        <f t="shared" si="29"/>
        <v>2095.27734375</v>
      </c>
      <c r="AQ60" s="95">
        <f t="shared" si="29"/>
        <v>2059.2109375</v>
      </c>
      <c r="AR60" s="95">
        <f t="shared" si="29"/>
        <v>1975.609375</v>
      </c>
      <c r="AS60" s="95">
        <f t="shared" ref="AS60:BD60" si="33">AS26/1024</f>
        <v>1133.66796875</v>
      </c>
      <c r="AT60" s="95">
        <f t="shared" si="33"/>
        <v>1885.57421875</v>
      </c>
      <c r="AU60" s="95">
        <f t="shared" si="33"/>
        <v>2063.8828125</v>
      </c>
      <c r="AV60" s="95">
        <f t="shared" si="33"/>
        <v>1105.7734375</v>
      </c>
      <c r="AW60" s="95">
        <f t="shared" si="33"/>
        <v>1614.3828125</v>
      </c>
      <c r="AX60" s="95">
        <f t="shared" si="33"/>
        <v>2521.1484375</v>
      </c>
      <c r="AY60" s="95">
        <f t="shared" si="33"/>
        <v>1980.6953125</v>
      </c>
      <c r="AZ60" s="95">
        <f t="shared" si="33"/>
        <v>819.90625</v>
      </c>
      <c r="BA60" s="95">
        <f t="shared" si="33"/>
        <v>718.21484375</v>
      </c>
      <c r="BB60" s="95">
        <f t="shared" si="33"/>
        <v>698.86328125</v>
      </c>
      <c r="BC60" s="95">
        <f t="shared" si="33"/>
        <v>0</v>
      </c>
      <c r="BD60" s="95">
        <f t="shared" si="33"/>
        <v>0</v>
      </c>
    </row>
    <row r="61" spans="1:56" s="58" customFormat="1" ht="8.25" customHeight="1" thickBot="1">
      <c r="A61" s="250"/>
      <c r="B61" s="243"/>
      <c r="C61" s="96"/>
      <c r="D61" s="97"/>
      <c r="E61" s="98"/>
      <c r="F61" s="98"/>
      <c r="G61" s="98"/>
      <c r="H61" s="98"/>
      <c r="I61" s="98"/>
      <c r="J61" s="98"/>
      <c r="K61" s="98"/>
      <c r="L61" s="98"/>
      <c r="M61" s="98"/>
      <c r="N61" s="98"/>
      <c r="O61" s="98"/>
      <c r="P61" s="98"/>
      <c r="Q61" s="98"/>
      <c r="R61" s="98"/>
      <c r="S61" s="98"/>
      <c r="T61" s="98"/>
      <c r="V61" s="124"/>
      <c r="W61" s="124"/>
      <c r="X61" s="124"/>
      <c r="Y61" s="124"/>
      <c r="Z61" s="124"/>
      <c r="AA61" s="124"/>
      <c r="AB61" s="124"/>
      <c r="AC61" s="124"/>
      <c r="AD61" s="124"/>
      <c r="AE61" s="124"/>
      <c r="AF61" s="124"/>
      <c r="AG61" s="124"/>
      <c r="AH61" s="124"/>
      <c r="AI61" s="124"/>
      <c r="AK61" s="98"/>
      <c r="AL61" s="98"/>
      <c r="AM61" s="98"/>
      <c r="AP61" s="98"/>
      <c r="AQ61" s="98"/>
      <c r="AR61" s="98"/>
      <c r="AS61" s="98"/>
      <c r="AT61" s="98"/>
      <c r="AU61" s="98"/>
      <c r="AV61" s="98"/>
      <c r="AW61" s="98"/>
      <c r="AX61" s="98"/>
      <c r="AY61" s="98"/>
      <c r="AZ61" s="98"/>
      <c r="BA61" s="98"/>
      <c r="BB61" s="98"/>
      <c r="BC61" s="98"/>
      <c r="BD61" s="98"/>
    </row>
    <row r="62" spans="1:56" s="89" customFormat="1" ht="25.5" customHeight="1" thickBot="1">
      <c r="A62" s="514" t="s">
        <v>273</v>
      </c>
      <c r="B62" s="515"/>
      <c r="C62" s="515"/>
      <c r="D62" s="515"/>
      <c r="E62" s="516"/>
      <c r="F62" s="103"/>
      <c r="G62" s="125"/>
      <c r="H62" s="125"/>
      <c r="I62" s="125"/>
      <c r="J62" s="125"/>
      <c r="K62" s="125"/>
      <c r="L62" s="125"/>
      <c r="M62" s="125"/>
      <c r="N62" s="125"/>
      <c r="O62" s="125"/>
      <c r="P62" s="125"/>
      <c r="Q62" s="125"/>
      <c r="R62" s="125"/>
      <c r="S62" s="125"/>
      <c r="T62" s="125"/>
      <c r="V62" s="126"/>
      <c r="W62" s="126"/>
      <c r="X62" s="126"/>
      <c r="Y62" s="126"/>
      <c r="Z62" s="126"/>
      <c r="AA62" s="126"/>
      <c r="AB62" s="126"/>
      <c r="AC62" s="126"/>
      <c r="AD62" s="126"/>
      <c r="AE62" s="126"/>
      <c r="AF62" s="126"/>
      <c r="AG62" s="126"/>
      <c r="AH62" s="126"/>
      <c r="AI62" s="126"/>
      <c r="AK62" s="125"/>
      <c r="AL62" s="125"/>
      <c r="AM62" s="125"/>
      <c r="AP62" s="125"/>
      <c r="AQ62" s="125"/>
      <c r="AR62" s="125"/>
      <c r="AS62" s="125"/>
      <c r="AT62" s="125"/>
      <c r="AU62" s="125"/>
      <c r="AV62" s="125"/>
      <c r="AW62" s="125"/>
      <c r="AX62" s="125"/>
      <c r="AY62" s="125"/>
      <c r="AZ62" s="125"/>
      <c r="BA62" s="125"/>
      <c r="BB62" s="125"/>
      <c r="BC62" s="125"/>
      <c r="BD62" s="125"/>
    </row>
    <row r="63" spans="1:56" s="58" customFormat="1">
      <c r="A63" s="507" t="s">
        <v>210</v>
      </c>
      <c r="B63" s="244" t="s">
        <v>169</v>
      </c>
      <c r="C63" s="99"/>
      <c r="D63" s="100">
        <f>D13*1024 - ((D5+D6)*$D$35)</f>
        <v>163491840</v>
      </c>
      <c r="E63" s="100"/>
      <c r="F63" s="100"/>
      <c r="G63" s="100">
        <f t="shared" ref="G63:O63" si="34">G13*1024 - ((G5+G6)*$D$35)</f>
        <v>148144128</v>
      </c>
      <c r="H63" s="100">
        <f t="shared" si="34"/>
        <v>183697408</v>
      </c>
      <c r="I63" s="100">
        <f>I13*1024 - ((I5+I6)*$D$35)</f>
        <v>160927744</v>
      </c>
      <c r="J63" s="100">
        <f t="shared" si="34"/>
        <v>144621568</v>
      </c>
      <c r="K63" s="100">
        <f t="shared" si="34"/>
        <v>148758528</v>
      </c>
      <c r="L63" s="100">
        <f t="shared" si="34"/>
        <v>155152384</v>
      </c>
      <c r="M63" s="100">
        <f t="shared" si="34"/>
        <v>154771456</v>
      </c>
      <c r="N63" s="100">
        <f t="shared" si="34"/>
        <v>171577344</v>
      </c>
      <c r="O63" s="100">
        <f t="shared" si="34"/>
        <v>149925888</v>
      </c>
      <c r="P63" s="100">
        <f>P13*1024 - ((P5+P6)*$D$35)</f>
        <v>153317376</v>
      </c>
      <c r="Q63" s="100">
        <f>Q13*1024 - ((Q5+Q6)*$D$35)</f>
        <v>148144128</v>
      </c>
      <c r="R63" s="100">
        <f>R13*1024 - ((R5+R6)*$D$35)</f>
        <v>158957568</v>
      </c>
      <c r="S63" s="100">
        <f>S13*1024 - ((S5+S6)*$D$35)</f>
        <v>-9879552</v>
      </c>
      <c r="T63" s="100">
        <f>T13*1024 - ((T5+T6)*$D$35)</f>
        <v>-9879552</v>
      </c>
      <c r="V63" s="100">
        <f>V13*1024 - ((V5+V6)*$E$35)</f>
        <v>145115818.66666666</v>
      </c>
      <c r="W63" s="100">
        <f>W13*1024 - ((W5+W6)*$E$35)</f>
        <v>144758101.33333334</v>
      </c>
      <c r="X63" s="100">
        <f>X13*1024 - ((X5+X6)*$E$35)</f>
        <v>154363221.33333334</v>
      </c>
      <c r="Y63" s="100">
        <f>Y25*1024 - ((Y5+Y6)*$E$35)</f>
        <v>141363882.66666666</v>
      </c>
      <c r="Z63" s="100">
        <f>Z25*1024 - ((Z5+Z6)*$E$35)</f>
        <v>152399872</v>
      </c>
      <c r="AA63" s="100">
        <f t="shared" ref="AA63:AF63" si="35">AA25*1024 - ((AA5+AA6)*$E$35)</f>
        <v>153908565.33333334</v>
      </c>
      <c r="AB63" s="100">
        <f t="shared" si="35"/>
        <v>156224170.66666666</v>
      </c>
      <c r="AC63" s="100">
        <f t="shared" si="35"/>
        <v>140267520</v>
      </c>
      <c r="AD63" s="100">
        <f t="shared" si="35"/>
        <v>149127168</v>
      </c>
      <c r="AE63" s="100">
        <f t="shared" si="35"/>
        <v>-5778090.666666667</v>
      </c>
      <c r="AF63" s="100">
        <f t="shared" si="35"/>
        <v>144950613.33333334</v>
      </c>
      <c r="AG63" s="100">
        <f>AG25*1024 - ((AG5+AG6)*$E$35)</f>
        <v>152608768</v>
      </c>
      <c r="AH63" s="100">
        <f>AH13*1024 - ((AH5+AH6)*$E$35)</f>
        <v>141885440</v>
      </c>
      <c r="AI63" s="100">
        <f>AI13*1024 - ((AI5+AI6)*$E$35)</f>
        <v>163307520</v>
      </c>
      <c r="AK63" s="100">
        <f>AK13*1024 - ((AK5+AK6)*$D$35)</f>
        <v>188829696</v>
      </c>
      <c r="AL63" s="100">
        <f>AL13*1024 - ((AL5+AL6)*$D$35)</f>
        <v>-9879552</v>
      </c>
      <c r="AM63" s="100">
        <f>AM13*1024 - ((AM5+AM6)*$D$35)</f>
        <v>-9879552</v>
      </c>
      <c r="AP63" s="100">
        <f>AP13*1024 - ((AP5+AP6)*$D$35)</f>
        <v>164937728</v>
      </c>
      <c r="AQ63" s="100">
        <f>AQ13*1024 - ((AQ5+AQ6)*$D$35)</f>
        <v>165576704</v>
      </c>
      <c r="AR63" s="100">
        <f>AR13*1024 - ((AR5+AR6)*$D$35)</f>
        <v>165191680</v>
      </c>
      <c r="AS63" s="100">
        <f t="shared" ref="AS63:AY63" si="36">AS13*1024 - ((AS5+AS6)*$D$35)</f>
        <v>165208064</v>
      </c>
      <c r="AT63" s="100">
        <f t="shared" si="36"/>
        <v>165068800</v>
      </c>
      <c r="AU63" s="100">
        <f t="shared" si="36"/>
        <v>165367808</v>
      </c>
      <c r="AV63" s="100">
        <f t="shared" si="36"/>
        <v>165744640</v>
      </c>
      <c r="AW63" s="100">
        <f t="shared" si="36"/>
        <v>165130240</v>
      </c>
      <c r="AX63" s="100">
        <f t="shared" si="36"/>
        <v>165191680</v>
      </c>
      <c r="AY63" s="100">
        <f t="shared" si="36"/>
        <v>165724160</v>
      </c>
      <c r="AZ63" s="100">
        <f>AZ13*1024 - ((AZ5+AZ6)*$D$35)</f>
        <v>161927168</v>
      </c>
      <c r="BA63" s="100">
        <f>BA13*1024 - ((BA5+BA6)*$D$35)</f>
        <v>164970496</v>
      </c>
      <c r="BB63" s="100">
        <f>BB13*1024 - ((BB5+BB6)*$D$35)</f>
        <v>165502976</v>
      </c>
      <c r="BC63" s="100">
        <f>BC13*1024 - ((BC5+BC6)*$D$35)</f>
        <v>-9879552</v>
      </c>
      <c r="BD63" s="100">
        <f>BD13*1024 - ((BD5+BD6)*$D$35)</f>
        <v>-9879552</v>
      </c>
    </row>
    <row r="64" spans="1:56" s="58" customFormat="1">
      <c r="A64" s="512"/>
      <c r="B64" s="244" t="s">
        <v>170</v>
      </c>
      <c r="C64" s="99"/>
      <c r="D64" s="100"/>
      <c r="E64" s="100"/>
      <c r="F64" s="100"/>
      <c r="G64" s="100"/>
      <c r="H64" s="100"/>
      <c r="I64" s="100">
        <f>((I15-I13)/(I12*I6*I8))*1024</f>
        <v>4370.7156559593532</v>
      </c>
      <c r="J64" s="100">
        <f t="shared" ref="J64:R64" si="37">((J15-J13)/(J12*J6*J8))*1024</f>
        <v>4547.3363163447193</v>
      </c>
      <c r="K64" s="100">
        <f t="shared" si="37"/>
        <v>4691.1261959329186</v>
      </c>
      <c r="L64" s="100">
        <f t="shared" si="37"/>
        <v>4853.8397177052639</v>
      </c>
      <c r="M64" s="100">
        <f t="shared" si="37"/>
        <v>4407.4950707555754</v>
      </c>
      <c r="N64" s="100">
        <f t="shared" si="37"/>
        <v>4111.8690385245009</v>
      </c>
      <c r="O64" s="100">
        <f t="shared" si="37"/>
        <v>2795.8563789152026</v>
      </c>
      <c r="P64" s="100">
        <f t="shared" si="37"/>
        <v>4964.2524646222128</v>
      </c>
      <c r="Q64" s="100">
        <f t="shared" si="37"/>
        <v>4554.1408805946621</v>
      </c>
      <c r="R64" s="100">
        <f t="shared" si="37"/>
        <v>4371.0633344246789</v>
      </c>
      <c r="S64" s="100">
        <f>((S15-S13)/S12)*1024</f>
        <v>0</v>
      </c>
      <c r="T64" s="100">
        <f>((T15-T13)/T12)*1024</f>
        <v>0</v>
      </c>
      <c r="V64" s="103"/>
      <c r="W64" s="103"/>
      <c r="X64" s="103"/>
      <c r="Y64" s="103"/>
      <c r="Z64" s="103"/>
      <c r="AA64" s="103"/>
      <c r="AB64" s="103"/>
      <c r="AC64" s="103"/>
      <c r="AD64" s="103"/>
      <c r="AE64" s="103"/>
      <c r="AF64" s="103"/>
      <c r="AG64" s="103"/>
      <c r="AH64" s="103"/>
      <c r="AI64" s="100"/>
      <c r="AK64" s="100"/>
      <c r="AL64" s="100"/>
      <c r="AM64" s="100" t="e">
        <f>((AM15-AM13)/(AM12*AM6*AM8))*1024</f>
        <v>#DIV/0!</v>
      </c>
      <c r="AP64" s="100"/>
      <c r="AQ64" s="100"/>
      <c r="AR64" s="100">
        <f>((AR15-AR13)/(AR12*AR6*AR8))*1024</f>
        <v>4308.0838638485693</v>
      </c>
      <c r="AS64" s="100">
        <f t="shared" ref="AS64:BB64" si="38">((AS15-AS13)/(AS12*AS6*AS8))*1024</f>
        <v>4308.3322056095167</v>
      </c>
      <c r="AT64" s="100">
        <f t="shared" si="38"/>
        <v>4305.5507778869123</v>
      </c>
      <c r="AU64" s="100">
        <f t="shared" si="38"/>
        <v>4302.2726666424142</v>
      </c>
      <c r="AV64" s="100">
        <f t="shared" si="38"/>
        <v>4671.9045436356364</v>
      </c>
      <c r="AW64" s="100">
        <f t="shared" si="38"/>
        <v>4405.8560151333259</v>
      </c>
      <c r="AX64" s="100">
        <f t="shared" si="38"/>
        <v>4255.062897886427</v>
      </c>
      <c r="AY64" s="100">
        <f t="shared" si="38"/>
        <v>2343.0300120048018</v>
      </c>
      <c r="AZ64" s="100">
        <f t="shared" si="38"/>
        <v>4538.545018007203</v>
      </c>
      <c r="BA64" s="100">
        <f t="shared" si="38"/>
        <v>4302.4713400511719</v>
      </c>
      <c r="BB64" s="100">
        <f t="shared" si="38"/>
        <v>4302.5706767555503</v>
      </c>
      <c r="BC64" s="100">
        <f>((BC15-BC13)/BC12)*1024</f>
        <v>0</v>
      </c>
      <c r="BD64" s="100">
        <f>((BD15-BD13)/BD12)*1024</f>
        <v>0</v>
      </c>
    </row>
    <row r="65" spans="1:57" s="58" customFormat="1" ht="38.25">
      <c r="A65" s="513"/>
      <c r="B65" s="101" t="s">
        <v>186</v>
      </c>
      <c r="C65" s="102"/>
      <c r="D65" s="103">
        <f>((D16-D15)/(D10*D6))*1024</f>
        <v>8400.3466565541657</v>
      </c>
      <c r="E65" s="103"/>
      <c r="F65" s="103"/>
      <c r="G65" s="103">
        <f t="shared" ref="G65:O65" si="39">((G16-G15)/(G10*G6))*1024</f>
        <v>8260.5514347111621</v>
      </c>
      <c r="H65" s="103">
        <f t="shared" si="39"/>
        <v>8533.2556693211991</v>
      </c>
      <c r="I65" s="103">
        <f>((I16-I15)/(I10*I6))*1024</f>
        <v>8462.3225382378969</v>
      </c>
      <c r="J65" s="103">
        <f t="shared" si="39"/>
        <v>8417.8987232966756</v>
      </c>
      <c r="K65" s="103">
        <f t="shared" si="39"/>
        <v>8422.920996081406</v>
      </c>
      <c r="L65" s="103">
        <f t="shared" si="39"/>
        <v>8569.9130830489194</v>
      </c>
      <c r="M65" s="272">
        <f t="shared" si="39"/>
        <v>8452.019112627986</v>
      </c>
      <c r="N65" s="103">
        <f t="shared" si="39"/>
        <v>8301.8557451649594</v>
      </c>
      <c r="O65" s="103">
        <f t="shared" si="39"/>
        <v>8587.3098217671595</v>
      </c>
      <c r="P65" s="103">
        <f>((P16-P15)/(P10*P6))*1024</f>
        <v>8568.5151308304885</v>
      </c>
      <c r="Q65" s="103">
        <f>((Q16-Q15)/(Q10*Q6))*1024</f>
        <v>8260.5514347111621</v>
      </c>
      <c r="R65" s="103">
        <f>((R16-R15)/(R10*R6))*1024</f>
        <v>8161.4003792188096</v>
      </c>
      <c r="S65" s="103">
        <f>((S16-S15)/(S10*S6))*1024</f>
        <v>0</v>
      </c>
      <c r="T65" s="103">
        <f>((T16-T15)/(T10*T6))*1024</f>
        <v>0</v>
      </c>
      <c r="U65" s="251"/>
      <c r="V65" s="103">
        <f>((V16-V15)/(V10*V6))*1024</f>
        <v>8651.3049677664021</v>
      </c>
      <c r="W65" s="103">
        <f>((W16-W15)/(W10*W6))*1024</f>
        <v>8412.5140184553147</v>
      </c>
      <c r="X65" s="103">
        <f>((X16-X15)/(X10*X6))*1024</f>
        <v>8783.4891164201745</v>
      </c>
      <c r="Y65" s="103">
        <f>((Y16-Y27)/(Y10*Y6))*1024</f>
        <v>9288.5381873340921</v>
      </c>
      <c r="Z65" s="103">
        <f>((Z16-Z27)/(Z10*Z6))*1024</f>
        <v>9347.6405005688284</v>
      </c>
      <c r="AA65" s="103">
        <f t="shared" ref="AA65:AF65" si="40">((AA16-AA27)/(AA10*AA6))*1024</f>
        <v>9248.9295411452404</v>
      </c>
      <c r="AB65" s="103">
        <f t="shared" si="40"/>
        <v>9192.7202123625339</v>
      </c>
      <c r="AC65" s="103">
        <f t="shared" si="40"/>
        <v>9161.7646315257243</v>
      </c>
      <c r="AD65" s="103">
        <f t="shared" si="40"/>
        <v>9050.6533181645809</v>
      </c>
      <c r="AE65" s="103">
        <f t="shared" si="40"/>
        <v>0</v>
      </c>
      <c r="AF65" s="103">
        <f t="shared" si="40"/>
        <v>10363.796435343193</v>
      </c>
      <c r="AG65" s="103">
        <f>((AG16-AG27)/(AG10*AG6))*1024</f>
        <v>9407.8559979775</v>
      </c>
      <c r="AH65" s="103">
        <f>((AH16-AH27)/(AH10*AH6))*1024</f>
        <v>9201.8392617873851</v>
      </c>
      <c r="AI65" s="103">
        <f>((AI16-AI27)/(AI10*AI6))*1024</f>
        <v>9435.8668183541904</v>
      </c>
      <c r="AJ65" s="255">
        <f>AVERAGE(V65:AI65)</f>
        <v>8539.0652148003683</v>
      </c>
      <c r="AK65" s="103">
        <f>((AK16-AK15)/(AK10*AK6))*1024</f>
        <v>0</v>
      </c>
      <c r="AL65" s="103">
        <f>((AL16-AL15)/(AL10*AL6))*1024</f>
        <v>0</v>
      </c>
      <c r="AM65" s="103">
        <f>((AM16-AM15)/(AM10*AM6))*1024</f>
        <v>0</v>
      </c>
      <c r="AP65" s="103">
        <f>((AP16-AP15)/(AP10*AP6))*1024</f>
        <v>11366.749488054607</v>
      </c>
      <c r="AQ65" s="103">
        <f>((AQ16-AQ15)/(AQ10*AQ6))*1024</f>
        <v>11489.04441916319</v>
      </c>
      <c r="AR65" s="103">
        <f>((AR16-AR15)/(AR10*AR6))*1024</f>
        <v>11276.918114018456</v>
      </c>
      <c r="AS65" s="103">
        <f t="shared" ref="AS65:AY65" si="41">((AS16-AS15)/(AS10*AS6))*1024</f>
        <v>11331.386474529136</v>
      </c>
      <c r="AT65" s="103">
        <f t="shared" si="41"/>
        <v>11437.993275186449</v>
      </c>
      <c r="AU65" s="103">
        <f t="shared" si="41"/>
        <v>11499.140740740741</v>
      </c>
      <c r="AV65" s="103">
        <f t="shared" si="41"/>
        <v>11689.365794463405</v>
      </c>
      <c r="AW65" s="272">
        <f t="shared" si="41"/>
        <v>20637.114296549109</v>
      </c>
      <c r="AX65" s="103">
        <f t="shared" si="41"/>
        <v>11196.898293515358</v>
      </c>
      <c r="AY65" s="103">
        <f t="shared" si="41"/>
        <v>11639.505498672734</v>
      </c>
      <c r="AZ65" s="103">
        <f>((AZ16-AZ15)/(AZ10*AZ6))*1024</f>
        <v>11660.785437997725</v>
      </c>
      <c r="BA65" s="103">
        <f>((BA16-BA15)/(BA10*BA6))*1024</f>
        <v>11382.800050562508</v>
      </c>
      <c r="BB65" s="103">
        <f>((BB16-BB15)/(BB10*BB6))*1024</f>
        <v>11294.832612817596</v>
      </c>
      <c r="BC65" s="103">
        <f>((BC16-BC15)/(BC10*BC6))*1024</f>
        <v>0</v>
      </c>
      <c r="BD65" s="103">
        <f>((BD16-BD15)/(BD10*BD6))*1024</f>
        <v>0</v>
      </c>
      <c r="BE65" s="251"/>
    </row>
    <row r="66" spans="1:57" s="58" customFormat="1" ht="39" thickBot="1">
      <c r="A66" s="506"/>
      <c r="B66" s="104" t="s">
        <v>187</v>
      </c>
      <c r="C66" s="102"/>
      <c r="D66" s="103">
        <f>((D28-D27)/(D10*D6*D8))*1024</f>
        <v>2982.9711540892426</v>
      </c>
      <c r="E66" s="103"/>
      <c r="F66" s="103"/>
      <c r="G66" s="103">
        <f t="shared" ref="G66:O66" si="42">((G28-G27)/(G10*G6*G8))*1024</f>
        <v>3047.1216281127545</v>
      </c>
      <c r="H66" s="103">
        <f t="shared" si="42"/>
        <v>2942.4823157628616</v>
      </c>
      <c r="I66" s="103">
        <f>((I28-I27)/(I10*I6*I8))*1024</f>
        <v>2940.1006193907219</v>
      </c>
      <c r="J66" s="103">
        <f t="shared" si="42"/>
        <v>3077.0999367968652</v>
      </c>
      <c r="K66" s="103">
        <f t="shared" si="42"/>
        <v>3062.8097585640248</v>
      </c>
      <c r="L66" s="103">
        <f t="shared" si="42"/>
        <v>2948.2812286689418</v>
      </c>
      <c r="M66" s="103">
        <f t="shared" si="42"/>
        <v>2943.5437239287066</v>
      </c>
      <c r="N66" s="103">
        <f t="shared" si="42"/>
        <v>2946.2619643534317</v>
      </c>
      <c r="O66" s="103">
        <f t="shared" si="42"/>
        <v>1479.4994311717862</v>
      </c>
      <c r="P66" s="103">
        <f>((P28-P27)/(P10*P6*P8))*1024</f>
        <v>2956.5136139552524</v>
      </c>
      <c r="Q66" s="103">
        <f>((Q28-Q27)/(Q10*Q6*Q8))*1024</f>
        <v>3047.1216281127545</v>
      </c>
      <c r="R66" s="103">
        <f>((R28-R27)/(R10*R6*R8))*1024</f>
        <v>3052.5581089622046</v>
      </c>
      <c r="S66" s="103">
        <f>((S28-S27)/(S10*S6*S8))*1024</f>
        <v>0</v>
      </c>
      <c r="T66" s="103">
        <f>((T28-T27)/(T10*T6*T8))*1024</f>
        <v>0</v>
      </c>
      <c r="V66" s="103">
        <f>((V28-V27)/(V10*V6*V8))*1024</f>
        <v>2787.3613955252181</v>
      </c>
      <c r="W66" s="103">
        <f>((W28-W27)/(W10*W6*W8))*1024</f>
        <v>2936.3209708001518</v>
      </c>
      <c r="X66" s="103">
        <f>((X28-X27)/(X10*X6*X8))*1024</f>
        <v>2970.8037921880923</v>
      </c>
      <c r="Y66" s="103">
        <f>((Y28-Y27)/(Y10*Y6*Y8))*1024</f>
        <v>2826.2710656048539</v>
      </c>
      <c r="Z66" s="103">
        <f>((Z28-Z27)/(Z10*Z6*Z8))*1024</f>
        <v>2912.296903046391</v>
      </c>
      <c r="AA66" s="103">
        <f t="shared" ref="AA66:AF66" si="43">((AA28-AA27)/(AA10*AA6*AA8))*1024</f>
        <v>3009.1698141827833</v>
      </c>
      <c r="AB66" s="103">
        <f t="shared" si="43"/>
        <v>2991.5983314372393</v>
      </c>
      <c r="AC66" s="103">
        <f t="shared" si="43"/>
        <v>3050.1246365819743</v>
      </c>
      <c r="AD66" s="103">
        <f t="shared" si="43"/>
        <v>3007.7718619643533</v>
      </c>
      <c r="AE66" s="103">
        <f t="shared" si="43"/>
        <v>0</v>
      </c>
      <c r="AF66" s="103">
        <f t="shared" si="43"/>
        <v>2883.8200985968906</v>
      </c>
      <c r="AG66" s="103">
        <f>((AG28-AG27)/(AG10*AG6*AG8))*1024</f>
        <v>3140.6808747313867</v>
      </c>
      <c r="AH66" s="103">
        <f>((AH16-AH15)/(AH10*AH6*AH8))*1024</f>
        <v>8375.9083807356837</v>
      </c>
      <c r="AI66" s="103">
        <f>((AI16-AI15)/(AI10*AI6*AI8))*1024</f>
        <v>8555.8817848565286</v>
      </c>
      <c r="AK66" s="103">
        <f>((AK28-AK27)/(AK10*AK6*AK8))*1024</f>
        <v>0</v>
      </c>
      <c r="AL66" s="103">
        <f>((AL28-AL27)/(AL10*AL6*AL8))*1024</f>
        <v>0</v>
      </c>
      <c r="AM66" s="103">
        <f>((AM28-AM27)/(AM10*AM6*AM8))*1024</f>
        <v>0</v>
      </c>
      <c r="AP66" s="103">
        <f>((AP28-AP27)/(AP10*AP6*AP8))*1024</f>
        <v>5405.8812286689417</v>
      </c>
      <c r="AQ66" s="103">
        <f>((AQ28-AQ27)/(AQ10*AQ6*AQ8))*1024</f>
        <v>5468.6855264821133</v>
      </c>
      <c r="AR66" s="103">
        <f>((AR28-AR27)/(AR10*AR6*AR8))*1024</f>
        <v>5336.24249778789</v>
      </c>
      <c r="AS66" s="103">
        <f t="shared" ref="AS66:AY66" si="44">((AS28-AS27)/(AS10*AS6*AS8))*1024</f>
        <v>3213.4779421059284</v>
      </c>
      <c r="AT66" s="103">
        <f t="shared" si="44"/>
        <v>5419.2394387561626</v>
      </c>
      <c r="AU66" s="103">
        <f t="shared" si="44"/>
        <v>5721.4559979774995</v>
      </c>
      <c r="AV66" s="103">
        <f t="shared" si="44"/>
        <v>5336.2942737959802</v>
      </c>
      <c r="AW66" s="103">
        <f t="shared" si="44"/>
        <v>5338.0805460750853</v>
      </c>
      <c r="AX66" s="103">
        <f t="shared" si="44"/>
        <v>5351.6717481987107</v>
      </c>
      <c r="AY66" s="103">
        <f t="shared" si="44"/>
        <v>13298.719453924914</v>
      </c>
      <c r="AZ66" s="103">
        <f>((AZ28-AZ27)/(AZ10*AZ6*AZ8))*1024</f>
        <v>5345.4586272279103</v>
      </c>
      <c r="BA66" s="103">
        <f>((BA28-BA27)/(BA10*BA6*BA8))*1024</f>
        <v>2978.5184173935027</v>
      </c>
      <c r="BB66" s="103">
        <f>((BB28-BB27)/(BB10*BB6*BB8))*1024</f>
        <v>3006.3739097459234</v>
      </c>
      <c r="BC66" s="103">
        <f>((BC28-BC27)/(BC10*BC6*BC8))*1024</f>
        <v>0</v>
      </c>
      <c r="BD66" s="103">
        <f>((BD28-BD27)/(BD10*BD6*BD8))*1024</f>
        <v>0</v>
      </c>
    </row>
    <row r="67" spans="1:57" s="58" customFormat="1" ht="8.25" customHeight="1" thickBot="1">
      <c r="A67" s="250"/>
      <c r="B67" s="243"/>
      <c r="C67" s="96"/>
      <c r="D67" s="97"/>
      <c r="E67" s="98"/>
      <c r="F67" s="97"/>
    </row>
    <row r="68" spans="1:57" s="58" customFormat="1" ht="33" customHeight="1" thickBot="1">
      <c r="A68" s="505" t="s">
        <v>224</v>
      </c>
      <c r="B68" s="105" t="s">
        <v>173</v>
      </c>
      <c r="C68" s="106"/>
      <c r="D68" s="107">
        <f>D19/(D10*D6)</f>
        <v>1.571229933004677E-2</v>
      </c>
      <c r="E68" s="107"/>
      <c r="F68" s="107"/>
      <c r="G68" s="107">
        <f t="shared" ref="G68:O68" si="45">G19/(G10*G6)</f>
        <v>1.588926810769814E-2</v>
      </c>
      <c r="H68" s="107">
        <f t="shared" si="45"/>
        <v>1.6723549488054608E-2</v>
      </c>
      <c r="I68" s="107">
        <f>I19/(I10*I6)</f>
        <v>1.6420174440652257E-2</v>
      </c>
      <c r="J68" s="107">
        <f t="shared" si="45"/>
        <v>1.6432815067627355E-2</v>
      </c>
      <c r="K68" s="107">
        <f t="shared" si="45"/>
        <v>1.6230565036025785E-2</v>
      </c>
      <c r="L68" s="107">
        <f t="shared" si="45"/>
        <v>1.3727720894956389E-2</v>
      </c>
      <c r="M68" s="107">
        <f t="shared" si="45"/>
        <v>1.5017064846416382E-2</v>
      </c>
      <c r="N68" s="107">
        <f t="shared" si="45"/>
        <v>1.8117178612059158E-2</v>
      </c>
      <c r="O68" s="107">
        <f t="shared" si="45"/>
        <v>1.3424345847554038E-2</v>
      </c>
      <c r="P68" s="107">
        <f>P19/(P10*P6)</f>
        <v>1.3500189609404627E-2</v>
      </c>
      <c r="Q68" s="107">
        <f>Q19/(Q10*Q6)</f>
        <v>1.588926810769814E-2</v>
      </c>
      <c r="R68" s="107">
        <f>R19/(R10*R6)</f>
        <v>1.5901908734673238E-2</v>
      </c>
      <c r="S68" s="107">
        <f>S19/(S10*S6)</f>
        <v>0</v>
      </c>
      <c r="T68" s="107">
        <f>T19/(T10*T6)</f>
        <v>0</v>
      </c>
      <c r="V68" s="107">
        <f>V19/(V10*V6)</f>
        <v>1.2400455062571104E-2</v>
      </c>
      <c r="W68" s="107">
        <f>W19/(W10*W6)</f>
        <v>1.4258627227910504E-2</v>
      </c>
      <c r="X68" s="107">
        <f>X19/(X10*X6)</f>
        <v>1.3689799014031096E-2</v>
      </c>
      <c r="Y68" s="107">
        <f>Y19/(Y10*Y6)</f>
        <v>1.5168752370117557E-2</v>
      </c>
      <c r="Z68" s="107">
        <f>Z19/(Z10*Z6)</f>
        <v>1.3955252180508153E-2</v>
      </c>
      <c r="AA68" s="107">
        <f t="shared" ref="AA68:AH68" si="46">AA19/(AA10*AA6)</f>
        <v>1.6107318923018581E-2</v>
      </c>
      <c r="AB68" s="107">
        <f t="shared" si="46"/>
        <v>2.388130451270383E-2</v>
      </c>
      <c r="AC68" s="107">
        <f t="shared" si="46"/>
        <v>1.4372392870686385E-2</v>
      </c>
      <c r="AD68" s="107">
        <f t="shared" si="46"/>
        <v>1.5295158639868538E-2</v>
      </c>
      <c r="AE68" s="107">
        <f t="shared" si="46"/>
        <v>0</v>
      </c>
      <c r="AF68" s="107">
        <f t="shared" si="46"/>
        <v>1.285551763367463E-2</v>
      </c>
      <c r="AG68" s="109">
        <f>AG19/(AG10*AG6)</f>
        <v>1.4751611679939325E-2</v>
      </c>
      <c r="AH68" s="107">
        <f t="shared" si="46"/>
        <v>1.4056377196308936E-2</v>
      </c>
      <c r="AI68" s="373">
        <f>AI19/(AI10*AI6)</f>
        <v>1.3904689672607761E-2</v>
      </c>
      <c r="AK68" s="107">
        <f>AK19/(AK10*AK6)</f>
        <v>1.5510049298445202E-2</v>
      </c>
      <c r="AL68" s="107">
        <f>AL19/(AL10*AL6)</f>
        <v>0</v>
      </c>
      <c r="AM68" s="107">
        <f>AM19/(AM10*AM6)</f>
        <v>0</v>
      </c>
      <c r="AP68" s="107">
        <f>AP19/(AP10*AP6)</f>
        <v>1.5206674251042851E-2</v>
      </c>
      <c r="AQ68" s="107">
        <f>AQ19/(AQ10*AQ6)</f>
        <v>1.6217924409050687E-2</v>
      </c>
      <c r="AR68" s="107">
        <f>AR19/(AR10*AR6)</f>
        <v>1.5333080520793831E-2</v>
      </c>
      <c r="AS68" s="107">
        <f t="shared" ref="AS68:AY68" si="47">AS19/(AS10*AS6)</f>
        <v>1.5809505751485275E-2</v>
      </c>
      <c r="AT68" s="107">
        <f t="shared" si="47"/>
        <v>1.6028315004424219E-2</v>
      </c>
      <c r="AU68" s="107">
        <f t="shared" si="47"/>
        <v>1.5737580583996966E-2</v>
      </c>
      <c r="AV68" s="107">
        <f t="shared" si="47"/>
        <v>1.4031095942358742E-2</v>
      </c>
      <c r="AW68" s="107">
        <f t="shared" si="47"/>
        <v>1.5225635191505498E-2</v>
      </c>
      <c r="AX68" s="107">
        <f t="shared" si="47"/>
        <v>1.6467576791808873E-2</v>
      </c>
      <c r="AY68" s="107" t="e">
        <f t="shared" si="47"/>
        <v>#VALUE!</v>
      </c>
      <c r="AZ68" s="107">
        <f>AZ19/(AZ10*AZ6)</f>
        <v>1.3955252180508153E-2</v>
      </c>
      <c r="BA68" s="107">
        <f>BA19/(BA10*BA6)</f>
        <v>1.5674377449121476E-2</v>
      </c>
      <c r="BB68" s="107">
        <f>BB19/(BB10*BB6)</f>
        <v>1.5320439893818734E-2</v>
      </c>
      <c r="BC68" s="107">
        <f>BC19/(BC10*BC6)</f>
        <v>0</v>
      </c>
      <c r="BD68" s="107">
        <f>BD19/(BD10*BD6)</f>
        <v>0</v>
      </c>
    </row>
    <row r="69" spans="1:57" s="58" customFormat="1" ht="44.25" customHeight="1" thickBot="1">
      <c r="A69" s="506"/>
      <c r="B69" s="104" t="s">
        <v>174</v>
      </c>
      <c r="C69" s="108"/>
      <c r="D69" s="109">
        <f>D31/(D10*D6*D8)</f>
        <v>9.8849702945266078E-3</v>
      </c>
      <c r="E69" s="109"/>
      <c r="F69" s="109"/>
      <c r="G69" s="109">
        <f t="shared" ref="G69:O69" si="48">G31/(G10*G6*G8)</f>
        <v>1.3095689546201491E-2</v>
      </c>
      <c r="H69" s="109">
        <f t="shared" si="48"/>
        <v>4.1461256478321322E-3</v>
      </c>
      <c r="I69" s="109">
        <f>I31/(I10*I6*I8)</f>
        <v>4.1714069017823284E-3</v>
      </c>
      <c r="J69" s="109">
        <f t="shared" si="48"/>
        <v>2.1299456453040072E-2</v>
      </c>
      <c r="K69" s="109">
        <f t="shared" si="48"/>
        <v>2.9086082669700416E-2</v>
      </c>
      <c r="L69" s="109">
        <f t="shared" si="48"/>
        <v>4.1714069017823284E-3</v>
      </c>
      <c r="M69" s="109">
        <f t="shared" si="48"/>
        <v>4.1714069017823284E-3</v>
      </c>
      <c r="N69" s="109">
        <f t="shared" si="48"/>
        <v>4.2188092529389454E-3</v>
      </c>
      <c r="O69" s="109">
        <f t="shared" si="48"/>
        <v>5.6503602578687907E-3</v>
      </c>
      <c r="P69" s="109">
        <f>P31/(P10*P6*P8)</f>
        <v>4.1334850208570341E-3</v>
      </c>
      <c r="Q69" s="109">
        <f>Q31/(Q10*Q6*Q8)</f>
        <v>1.3095689546201491E-2</v>
      </c>
      <c r="R69" s="109">
        <f>R31/(R10*R6*R8)</f>
        <v>1.2918720768550119E-2</v>
      </c>
      <c r="S69" s="109">
        <f>S31/(S10*S6*S8)</f>
        <v>0</v>
      </c>
      <c r="T69" s="109">
        <f>T31/(T10*T6*T8)</f>
        <v>0</v>
      </c>
      <c r="V69" s="109">
        <f>V31/(V10*V6*V8)</f>
        <v>3.6405005688282138E-3</v>
      </c>
      <c r="W69" s="109">
        <f>W31/(W10*W6*W8)</f>
        <v>4.5506257110352671E-3</v>
      </c>
      <c r="X69" s="109">
        <f>X31/(X10*X6*X8)</f>
        <v>3.9059537353052713E-3</v>
      </c>
      <c r="Y69" s="109">
        <f>Y31/(Y10*Y6*Y8)</f>
        <v>4.228289723170269E-3</v>
      </c>
      <c r="Z69" s="109">
        <f>Z31/(Z10*Z6*Z8)</f>
        <v>4.3230944254835039E-3</v>
      </c>
      <c r="AA69" s="109">
        <f t="shared" ref="AA69:AH69" si="49">AA31/(AA10*AA6*AA8)</f>
        <v>5.783086841107319E-3</v>
      </c>
      <c r="AB69" s="109">
        <f t="shared" si="49"/>
        <v>1.1262798634812287E-2</v>
      </c>
      <c r="AC69" s="109">
        <f t="shared" si="49"/>
        <v>2.0275565668057136E-2</v>
      </c>
      <c r="AD69" s="109">
        <f t="shared" si="49"/>
        <v>2.9149285804575906E-2</v>
      </c>
      <c r="AE69" s="109">
        <f t="shared" si="49"/>
        <v>0</v>
      </c>
      <c r="AF69" s="109">
        <f t="shared" si="49"/>
        <v>3.7163443306788015E-3</v>
      </c>
      <c r="AG69" s="109">
        <f>AG31/(AG10*AG6*AG8)</f>
        <v>1.4005814688408546E-2</v>
      </c>
      <c r="AH69" s="109">
        <f t="shared" si="49"/>
        <v>1.2880798887624827E-2</v>
      </c>
      <c r="AI69" s="109">
        <f>AI31/(AI10*AI6*AI8)</f>
        <v>4.2598912906080142E-3</v>
      </c>
      <c r="AK69" s="109">
        <f>AK31/(AK10*AK6*AK8)</f>
        <v>0</v>
      </c>
      <c r="AL69" s="109">
        <f>AL31/(AL10*AL6*AL8)</f>
        <v>0</v>
      </c>
      <c r="AM69" s="109">
        <f>AM31/(AM10*AM6*AM8)</f>
        <v>0</v>
      </c>
      <c r="AP69" s="109">
        <f>AP31/(AP10*AP6*AP8)</f>
        <v>1.3626595879155606E-2</v>
      </c>
      <c r="AQ69" s="109">
        <f>AQ31/(AQ10*AQ6*AQ8)</f>
        <v>4.6517507268360511E-3</v>
      </c>
      <c r="AR69" s="109">
        <f>AR31/(AR10*AR6*AR8)</f>
        <v>4.5759069649854633E-3</v>
      </c>
      <c r="AS69" s="109">
        <f t="shared" ref="AS69:AY69" si="50">AS31/(AS10*AS6*AS8)</f>
        <v>1.050436101630641E-2</v>
      </c>
      <c r="AT69" s="109">
        <f t="shared" si="50"/>
        <v>2.1539628365566933E-2</v>
      </c>
      <c r="AU69" s="109">
        <f t="shared" si="50"/>
        <v>2.9781317153330805E-2</v>
      </c>
      <c r="AV69" s="109">
        <f t="shared" si="50"/>
        <v>4.6264694728858548E-3</v>
      </c>
      <c r="AW69" s="109">
        <f t="shared" si="50"/>
        <v>4.5695866514979143E-3</v>
      </c>
      <c r="AX69" s="109">
        <f t="shared" si="50"/>
        <v>4.6833522942737963E-3</v>
      </c>
      <c r="AY69" s="109">
        <f t="shared" si="50"/>
        <v>5.062571103526735E-3</v>
      </c>
      <c r="AZ69" s="109">
        <f>AZ31/(AZ10*AZ6*AZ8)</f>
        <v>4.5885475919605614E-3</v>
      </c>
      <c r="BA69" s="109">
        <f>BA31/(BA10*BA6*BA8)</f>
        <v>1.3361142712678549E-2</v>
      </c>
      <c r="BB69" s="109">
        <f>BB31/(BB10*BB6*BB8)</f>
        <v>1.3538111490329921E-2</v>
      </c>
      <c r="BC69" s="109">
        <f>BC31/(BC10*BC6*BC8)</f>
        <v>0</v>
      </c>
      <c r="BD69" s="109">
        <f>BD31/(BD10*BD6*BD8)</f>
        <v>0</v>
      </c>
    </row>
    <row r="70" spans="1:57" s="58" customFormat="1" ht="8.25" customHeight="1" thickBot="1">
      <c r="A70" s="250"/>
      <c r="B70" s="243"/>
      <c r="C70" s="96"/>
      <c r="D70" s="97"/>
      <c r="E70" s="98"/>
      <c r="F70" s="97"/>
    </row>
    <row r="71" spans="1:57" s="58" customFormat="1" ht="33" customHeight="1" thickBot="1">
      <c r="A71" s="505" t="s">
        <v>282</v>
      </c>
      <c r="B71" s="105" t="s">
        <v>173</v>
      </c>
      <c r="C71" s="106"/>
      <c r="D71" s="110">
        <f>D17</f>
        <v>1.5</v>
      </c>
      <c r="E71" s="107"/>
      <c r="F71" s="110"/>
      <c r="G71" s="110">
        <f t="shared" ref="G71:O71" si="51">G17</f>
        <v>1.4</v>
      </c>
      <c r="H71" s="110">
        <f t="shared" si="51"/>
        <v>1.8</v>
      </c>
      <c r="I71" s="110">
        <f>I17</f>
        <v>1.77</v>
      </c>
      <c r="J71" s="110">
        <f t="shared" si="51"/>
        <v>1.4</v>
      </c>
      <c r="K71" s="110">
        <f t="shared" si="51"/>
        <v>1.4</v>
      </c>
      <c r="L71" s="110">
        <f t="shared" si="51"/>
        <v>1.2</v>
      </c>
      <c r="M71" s="110">
        <f t="shared" si="51"/>
        <v>1.6</v>
      </c>
      <c r="N71" s="110">
        <f t="shared" si="51"/>
        <v>1.8</v>
      </c>
      <c r="O71" s="110">
        <f t="shared" si="51"/>
        <v>1</v>
      </c>
      <c r="P71" s="110">
        <f>P17</f>
        <v>1.1000000000000001</v>
      </c>
      <c r="Q71" s="110">
        <f>Q17</f>
        <v>1.4</v>
      </c>
      <c r="R71" s="110">
        <f>R17</f>
        <v>1.2</v>
      </c>
      <c r="S71" s="110">
        <f>S17</f>
        <v>0</v>
      </c>
      <c r="T71" s="110">
        <f>T17</f>
        <v>0</v>
      </c>
      <c r="V71" s="110">
        <f>V17</f>
        <v>1.1599999999999999</v>
      </c>
      <c r="W71" s="110">
        <f>W17</f>
        <v>2.0299999999999998</v>
      </c>
      <c r="X71" s="110">
        <f>X17</f>
        <v>1.17</v>
      </c>
      <c r="Y71" s="110">
        <f>Y17</f>
        <v>1.87</v>
      </c>
      <c r="Z71" s="110">
        <f>Z17</f>
        <v>2</v>
      </c>
      <c r="AA71" s="110">
        <f t="shared" ref="AA71:AF71" si="52">AA17</f>
        <v>2.0099999999999998</v>
      </c>
      <c r="AB71" s="110">
        <f t="shared" si="52"/>
        <v>2.2400000000000002</v>
      </c>
      <c r="AC71" s="110">
        <f t="shared" si="52"/>
        <v>1.96</v>
      </c>
      <c r="AD71" s="110">
        <f t="shared" si="52"/>
        <v>1.97</v>
      </c>
      <c r="AE71" s="110">
        <f t="shared" si="52"/>
        <v>0</v>
      </c>
      <c r="AF71" s="110">
        <f t="shared" si="52"/>
        <v>1.23</v>
      </c>
      <c r="AG71" s="110">
        <f>AG17</f>
        <v>1.94</v>
      </c>
      <c r="AH71" s="110">
        <f>AH17</f>
        <v>1.89</v>
      </c>
      <c r="AI71" s="110">
        <f>AI17</f>
        <v>1.99</v>
      </c>
      <c r="AK71" s="110">
        <f>AK17</f>
        <v>0</v>
      </c>
      <c r="AL71" s="110">
        <f>AL17</f>
        <v>0</v>
      </c>
      <c r="AM71" s="110">
        <f>AM17</f>
        <v>0</v>
      </c>
      <c r="AP71" s="110">
        <f>AP17</f>
        <v>2</v>
      </c>
      <c r="AQ71" s="110">
        <f>AQ17</f>
        <v>2.1</v>
      </c>
      <c r="AR71" s="110">
        <f>AR17</f>
        <v>2.1</v>
      </c>
      <c r="AS71" s="110">
        <f t="shared" ref="AS71:AY71" si="53">AS17</f>
        <v>1.7</v>
      </c>
      <c r="AT71" s="110">
        <f t="shared" si="53"/>
        <v>2</v>
      </c>
      <c r="AU71" s="110">
        <f t="shared" si="53"/>
        <v>2</v>
      </c>
      <c r="AV71" s="110">
        <f t="shared" si="53"/>
        <v>1.2</v>
      </c>
      <c r="AW71" s="110">
        <f t="shared" si="53"/>
        <v>1.9</v>
      </c>
      <c r="AX71" s="110">
        <f t="shared" si="53"/>
        <v>2.2000000000000002</v>
      </c>
      <c r="AY71" s="110">
        <f t="shared" si="53"/>
        <v>1.1000000000000001</v>
      </c>
      <c r="AZ71" s="110">
        <f>AZ17</f>
        <v>1.2</v>
      </c>
      <c r="BA71" s="110">
        <f>BA17</f>
        <v>2</v>
      </c>
      <c r="BB71" s="110">
        <f>BB17</f>
        <v>2</v>
      </c>
      <c r="BC71" s="110">
        <f>BC17</f>
        <v>0</v>
      </c>
      <c r="BD71" s="110">
        <f>BD17</f>
        <v>0</v>
      </c>
    </row>
    <row r="72" spans="1:57" s="58" customFormat="1" ht="44.25" customHeight="1" thickBot="1">
      <c r="A72" s="506"/>
      <c r="B72" s="104" t="s">
        <v>174</v>
      </c>
      <c r="C72" s="108"/>
      <c r="D72" s="110">
        <f>D29</f>
        <v>0.4</v>
      </c>
      <c r="E72" s="109"/>
      <c r="F72" s="110"/>
      <c r="G72" s="110">
        <f t="shared" ref="G72:O72" si="54">G29</f>
        <v>1</v>
      </c>
      <c r="H72" s="110">
        <f t="shared" si="54"/>
        <v>0.6</v>
      </c>
      <c r="I72" s="110">
        <f>I29</f>
        <v>0.7</v>
      </c>
      <c r="J72" s="110">
        <f t="shared" si="54"/>
        <v>1.1100000000000001</v>
      </c>
      <c r="K72" s="110">
        <f t="shared" si="54"/>
        <v>1.1100000000000001</v>
      </c>
      <c r="L72" s="110">
        <f t="shared" si="54"/>
        <v>0.4</v>
      </c>
      <c r="M72" s="110">
        <f t="shared" si="54"/>
        <v>0.6</v>
      </c>
      <c r="N72" s="110">
        <f t="shared" si="54"/>
        <v>0.5</v>
      </c>
      <c r="O72" s="110">
        <f t="shared" si="54"/>
        <v>0.44</v>
      </c>
      <c r="P72" s="110">
        <f>P29</f>
        <v>0.4</v>
      </c>
      <c r="Q72" s="110">
        <f>Q29</f>
        <v>1</v>
      </c>
      <c r="R72" s="110">
        <f>R29</f>
        <v>1.1000000000000001</v>
      </c>
      <c r="S72" s="110">
        <f>S29</f>
        <v>0</v>
      </c>
      <c r="T72" s="110">
        <f>T29</f>
        <v>0</v>
      </c>
      <c r="V72" s="110">
        <f>V29</f>
        <v>0.42</v>
      </c>
      <c r="W72" s="110">
        <f>W29</f>
        <v>0.99</v>
      </c>
      <c r="X72" s="110">
        <f>X29</f>
        <v>0.42</v>
      </c>
      <c r="Y72" s="110">
        <f>Y29</f>
        <v>0.73</v>
      </c>
      <c r="Z72" s="110">
        <f>Z29</f>
        <v>0.75</v>
      </c>
      <c r="AA72" s="110">
        <f t="shared" ref="AA72:AF72" si="55">AA29</f>
        <v>1</v>
      </c>
      <c r="AB72" s="110">
        <f t="shared" si="55"/>
        <v>1.08</v>
      </c>
      <c r="AC72" s="110">
        <f t="shared" si="55"/>
        <v>1.45</v>
      </c>
      <c r="AD72" s="110">
        <f t="shared" si="55"/>
        <v>1.6</v>
      </c>
      <c r="AE72" s="110">
        <f t="shared" si="55"/>
        <v>0</v>
      </c>
      <c r="AF72" s="110">
        <f t="shared" si="55"/>
        <v>0.59</v>
      </c>
      <c r="AG72" s="110">
        <f>AG29</f>
        <v>0.96</v>
      </c>
      <c r="AH72" s="110">
        <f>AH29</f>
        <v>0.9</v>
      </c>
      <c r="AI72" s="110">
        <f>AI29</f>
        <v>0.75</v>
      </c>
      <c r="AK72" s="110">
        <f>AK29</f>
        <v>0</v>
      </c>
      <c r="AL72" s="110">
        <f>AL29</f>
        <v>0</v>
      </c>
      <c r="AM72" s="110">
        <f>AM29</f>
        <v>0</v>
      </c>
      <c r="AP72" s="110">
        <f>AP29</f>
        <v>1.3</v>
      </c>
      <c r="AQ72" s="110">
        <f>AQ29</f>
        <v>0.6</v>
      </c>
      <c r="AR72" s="110">
        <f>AR29</f>
        <v>0.7</v>
      </c>
      <c r="AS72" s="110">
        <f t="shared" ref="AS72:AY72" si="56">AS29</f>
        <v>1.2</v>
      </c>
      <c r="AT72" s="110">
        <f t="shared" si="56"/>
        <v>1.3</v>
      </c>
      <c r="AU72" s="110">
        <f t="shared" si="56"/>
        <v>1.3</v>
      </c>
      <c r="AV72" s="110">
        <f t="shared" si="56"/>
        <v>0.4</v>
      </c>
      <c r="AW72" s="110">
        <f t="shared" si="56"/>
        <v>0.6</v>
      </c>
      <c r="AX72" s="110">
        <f t="shared" si="56"/>
        <v>0.7</v>
      </c>
      <c r="AY72" s="110">
        <f t="shared" si="56"/>
        <v>0.9</v>
      </c>
      <c r="AZ72" s="110">
        <f>AZ29</f>
        <v>0.5</v>
      </c>
      <c r="BA72" s="110">
        <f>BA29</f>
        <v>1.3</v>
      </c>
      <c r="BB72" s="110">
        <f>BB29</f>
        <v>1.3</v>
      </c>
      <c r="BC72" s="110">
        <f>BC29</f>
        <v>0</v>
      </c>
      <c r="BD72" s="110">
        <f>BD29</f>
        <v>0</v>
      </c>
    </row>
    <row r="73" spans="1:57" s="58" customFormat="1" ht="8.25" customHeight="1" thickBot="1">
      <c r="A73" s="250"/>
      <c r="B73" s="243"/>
      <c r="C73" s="111"/>
      <c r="D73" s="112"/>
      <c r="E73" s="113"/>
      <c r="F73" s="112"/>
    </row>
    <row r="74" spans="1:57" s="127" customFormat="1" ht="19.5" customHeight="1" thickBot="1">
      <c r="A74" s="505" t="s">
        <v>241</v>
      </c>
      <c r="B74" s="114" t="s">
        <v>195</v>
      </c>
      <c r="C74" s="115"/>
      <c r="D74" s="116">
        <f>D21/(D5*D11)</f>
        <v>3.2796666666666668E-3</v>
      </c>
      <c r="E74" s="117"/>
      <c r="F74" s="116"/>
      <c r="G74" s="116">
        <f t="shared" ref="G74:O74" si="57">G21/(G5*G11)</f>
        <v>1.2200000000000001E-2</v>
      </c>
      <c r="H74" s="116">
        <f t="shared" si="57"/>
        <v>1.2366666666666666E-2</v>
      </c>
      <c r="I74" s="116">
        <f>I21/(I5*I11)</f>
        <v>1.2233333333333334E-2</v>
      </c>
      <c r="J74" s="116">
        <f t="shared" si="57"/>
        <v>1.2233333333333334E-2</v>
      </c>
      <c r="K74" s="116">
        <f t="shared" si="57"/>
        <v>1.2566666666666667E-2</v>
      </c>
      <c r="L74" s="116">
        <f t="shared" si="57"/>
        <v>1.2266666666666667E-2</v>
      </c>
      <c r="M74" s="116">
        <f t="shared" si="57"/>
        <v>1.2466666666666666E-2</v>
      </c>
      <c r="N74" s="116">
        <f t="shared" si="57"/>
        <v>1.2633333333333333E-2</v>
      </c>
      <c r="O74" s="116">
        <f t="shared" si="57"/>
        <v>3.7666666666666669E-3</v>
      </c>
      <c r="P74" s="116">
        <f>P21/(P5*P11)</f>
        <v>1.11E-2</v>
      </c>
      <c r="Q74" s="116">
        <f>Q21/(Q5*Q11)</f>
        <v>1.2200000000000001E-2</v>
      </c>
      <c r="R74" s="116">
        <f>R21/(R5*R11)</f>
        <v>1.2166666666666666E-2</v>
      </c>
      <c r="S74" s="116">
        <f>S21/(S5*S11)</f>
        <v>0</v>
      </c>
      <c r="T74" s="116">
        <f>T21/(T5*T11)</f>
        <v>0</v>
      </c>
      <c r="V74" s="109">
        <f>V19/(V5*V11)</f>
        <v>3.27E-2</v>
      </c>
      <c r="W74" s="116">
        <f>W21/(W5*W11)</f>
        <v>1.3599999999999999E-2</v>
      </c>
      <c r="X74" s="116">
        <f>X21/(X5*X11)</f>
        <v>9.7333333333333334E-3</v>
      </c>
      <c r="Y74" s="116">
        <f>Y21/(Y5*Y11)</f>
        <v>9.7333333333333334E-3</v>
      </c>
      <c r="Z74" s="116">
        <f>Z21/(Z5*Z11)</f>
        <v>9.9333333333333339E-3</v>
      </c>
      <c r="AA74" s="116">
        <f t="shared" ref="AA74:AH74" si="58">AA21/(AA5*AA11)</f>
        <v>9.7333333333333334E-3</v>
      </c>
      <c r="AB74" s="116">
        <f t="shared" si="58"/>
        <v>9.8333333333333328E-3</v>
      </c>
      <c r="AC74" s="116">
        <f t="shared" si="58"/>
        <v>9.7666666666666666E-3</v>
      </c>
      <c r="AD74" s="116">
        <f t="shared" si="58"/>
        <v>1.2366666666666666E-2</v>
      </c>
      <c r="AE74" s="116">
        <f t="shared" si="58"/>
        <v>0</v>
      </c>
      <c r="AF74" s="116">
        <f t="shared" si="58"/>
        <v>9.7000000000000003E-3</v>
      </c>
      <c r="AG74" s="116">
        <f>AG21/(AG5*AG11)</f>
        <v>1.17E-2</v>
      </c>
      <c r="AH74" s="116">
        <f t="shared" si="58"/>
        <v>9.8333333333333328E-3</v>
      </c>
      <c r="AI74" s="116">
        <f>AI21/(AI5*AI11)</f>
        <v>9.8666666666666659E-3</v>
      </c>
      <c r="AK74" s="116">
        <f>AK21/(AK5*AK11)</f>
        <v>1.2933333333333333E-2</v>
      </c>
      <c r="AL74" s="116">
        <f>AL21/(AL5*AL11)</f>
        <v>0</v>
      </c>
      <c r="AM74" s="116">
        <f>AM21/(AM5*AM11)</f>
        <v>0</v>
      </c>
      <c r="AP74" s="116">
        <f>AP21/(AP5*AP11)</f>
        <v>1.6126666666666668E-2</v>
      </c>
      <c r="AQ74" s="116">
        <f>AQ21/(AQ5*AQ11)</f>
        <v>1.3146333333333333E-2</v>
      </c>
      <c r="AR74" s="116">
        <f>AR21/(AR5*AR11)</f>
        <v>1.8733333333333334E-2</v>
      </c>
      <c r="AS74" s="116">
        <f t="shared" ref="AS74:AY74" si="59">AS21/(AS5*AS11)</f>
        <v>1.3363E-2</v>
      </c>
      <c r="AT74" s="116">
        <f t="shared" si="59"/>
        <v>1.2966666666666666E-2</v>
      </c>
      <c r="AU74" s="116">
        <f t="shared" si="59"/>
        <v>1.3103333333333335E-2</v>
      </c>
      <c r="AV74" s="116">
        <f t="shared" si="59"/>
        <v>1.2786333333333332E-2</v>
      </c>
      <c r="AW74" s="116">
        <f t="shared" si="59"/>
        <v>1.3166666666666667E-2</v>
      </c>
      <c r="AX74" s="116">
        <f t="shared" si="59"/>
        <v>1.3379666666666666E-2</v>
      </c>
      <c r="AY74" s="116" t="e">
        <f t="shared" si="59"/>
        <v>#VALUE!</v>
      </c>
      <c r="AZ74" s="116">
        <f>AZ21/(AZ5*AZ11)</f>
        <v>1.15E-2</v>
      </c>
      <c r="BA74" s="116">
        <f>BA21/(BA5*BA11)</f>
        <v>1.9800000000000002E-2</v>
      </c>
      <c r="BB74" s="116">
        <f>BB21/(BB5*BB11)</f>
        <v>1.3053333333333333E-2</v>
      </c>
      <c r="BC74" s="116">
        <f>BC21/(BC5*BC11)</f>
        <v>0</v>
      </c>
      <c r="BD74" s="116">
        <f>BD21/(BD5*BD11)</f>
        <v>0</v>
      </c>
    </row>
    <row r="75" spans="1:57" s="127" customFormat="1" ht="24.75" customHeight="1" thickBot="1">
      <c r="A75" s="506"/>
      <c r="B75" s="118" t="s">
        <v>286</v>
      </c>
      <c r="C75" s="119"/>
      <c r="D75" s="120">
        <f>+D33/(D11*D5)</f>
        <v>3.6666666666666666E-3</v>
      </c>
      <c r="E75" s="121"/>
      <c r="F75" s="120"/>
      <c r="G75" s="120">
        <f t="shared" ref="G75:O75" si="60">+G33/(G11*G5)</f>
        <v>1.3766666666666667E-2</v>
      </c>
      <c r="H75" s="120">
        <f t="shared" si="60"/>
        <v>5.2666666666666669E-3</v>
      </c>
      <c r="I75" s="120">
        <f>+I33/(I11*I5)</f>
        <v>5.3E-3</v>
      </c>
      <c r="J75" s="120">
        <f t="shared" si="60"/>
        <v>2.1233333333333333E-2</v>
      </c>
      <c r="K75" s="120">
        <f t="shared" si="60"/>
        <v>2.92E-2</v>
      </c>
      <c r="L75" s="120">
        <f>+L31/(L11*L5)</f>
        <v>3.6666666666666666E-3</v>
      </c>
      <c r="M75" s="120">
        <f t="shared" si="60"/>
        <v>5.4333333333333334E-3</v>
      </c>
      <c r="N75" s="120">
        <f t="shared" si="60"/>
        <v>5.4000000000000003E-3</v>
      </c>
      <c r="O75" s="120">
        <f t="shared" si="60"/>
        <v>1.6666666666666668E-3</v>
      </c>
      <c r="P75" s="120">
        <f>+P33/(P11*P5)</f>
        <v>5.1999999999999998E-3</v>
      </c>
      <c r="Q75" s="120">
        <f>+Q33/(Q11*Q5)</f>
        <v>1.3766666666666667E-2</v>
      </c>
      <c r="R75" s="120">
        <f>+R33/(R11*R5)</f>
        <v>1.34E-2</v>
      </c>
      <c r="S75" s="120">
        <f>+S33/(S11*S5)</f>
        <v>0</v>
      </c>
      <c r="T75" s="120">
        <f>+T33/(T11*T5)</f>
        <v>0</v>
      </c>
      <c r="V75" s="120">
        <f>+V33/(V11*V5)</f>
        <v>4.0000000000000001E-3</v>
      </c>
      <c r="W75" s="120">
        <f>+W33/(W11*W5)</f>
        <v>7.7000000000000002E-3</v>
      </c>
      <c r="X75" s="120">
        <f>+X33/(X11*X5)</f>
        <v>4.2333333333333337E-3</v>
      </c>
      <c r="Y75" s="120">
        <f>+Y33/(Y11*Y5)</f>
        <v>4.1666666666666666E-3</v>
      </c>
      <c r="Z75" s="120">
        <f>+Z33/(Z11*Z5)</f>
        <v>4.1999999999999997E-3</v>
      </c>
      <c r="AA75" s="120">
        <f t="shared" ref="AA75:AH75" si="61">+AA33/(AA11*AA5)</f>
        <v>4.1666666666666666E-3</v>
      </c>
      <c r="AB75" s="120">
        <f t="shared" si="61"/>
        <v>4.1999999999999997E-3</v>
      </c>
      <c r="AC75" s="120">
        <f t="shared" si="61"/>
        <v>1.7299999999999999E-2</v>
      </c>
      <c r="AD75" s="120">
        <f t="shared" si="61"/>
        <v>2.64E-2</v>
      </c>
      <c r="AE75" s="120">
        <f t="shared" si="61"/>
        <v>1.3666666666666666E-3</v>
      </c>
      <c r="AF75" s="120">
        <f t="shared" si="61"/>
        <v>4.1333333333333335E-3</v>
      </c>
      <c r="AG75" s="120">
        <f>+AG33/(AG11*AG5)</f>
        <v>1.4200000000000001E-2</v>
      </c>
      <c r="AH75" s="120">
        <f t="shared" si="61"/>
        <v>1.11E-2</v>
      </c>
      <c r="AI75" s="120">
        <f>+AI33/(AI11*AI5)</f>
        <v>4.2666666666666669E-3</v>
      </c>
      <c r="AK75" s="120">
        <f>+AK33/(AK11*AK5)</f>
        <v>0</v>
      </c>
      <c r="AL75" s="120">
        <f>+AL33/(AL11*AL5)</f>
        <v>0</v>
      </c>
      <c r="AM75" s="120">
        <f>+AM33/(AM11*AM5)</f>
        <v>0</v>
      </c>
      <c r="AP75" s="120">
        <f t="shared" ref="AP75:AU75" si="62">+AP33/(AP11*AP5)</f>
        <v>1.95E-2</v>
      </c>
      <c r="AQ75" s="120">
        <f t="shared" si="62"/>
        <v>5.6666666666666671E-3</v>
      </c>
      <c r="AR75" s="120">
        <f t="shared" si="62"/>
        <v>1.11E-2</v>
      </c>
      <c r="AS75" s="120">
        <f t="shared" si="62"/>
        <v>1.1762999999999999E-2</v>
      </c>
      <c r="AT75" s="120">
        <f t="shared" si="62"/>
        <v>2.1233333333333333E-2</v>
      </c>
      <c r="AU75" s="120">
        <f t="shared" si="62"/>
        <v>2.8933333333333332E-2</v>
      </c>
      <c r="AV75" s="120">
        <f>+AV31/(AV11*AV5)</f>
        <v>4.0666666666666663E-3</v>
      </c>
      <c r="AW75" s="120">
        <f t="shared" ref="AW75:BD75" si="63">+AW33/(AW11*AW5)</f>
        <v>5.6666666666666671E-3</v>
      </c>
      <c r="AX75" s="120">
        <f t="shared" si="63"/>
        <v>5.7000000000000002E-3</v>
      </c>
      <c r="AY75" s="120">
        <f t="shared" si="63"/>
        <v>1.2133333333333333E-2</v>
      </c>
      <c r="AZ75" s="120">
        <f t="shared" si="63"/>
        <v>5.5999999999999999E-3</v>
      </c>
      <c r="BA75" s="120">
        <f t="shared" si="63"/>
        <v>1.9699999999999999E-2</v>
      </c>
      <c r="BB75" s="120">
        <f t="shared" si="63"/>
        <v>1.3953333333333335E-2</v>
      </c>
      <c r="BC75" s="120">
        <f t="shared" si="63"/>
        <v>0</v>
      </c>
      <c r="BD75" s="120">
        <f t="shared" si="63"/>
        <v>0</v>
      </c>
    </row>
  </sheetData>
  <sheetProtection sheet="1" objects="1" scenarios="1"/>
  <mergeCells count="22">
    <mergeCell ref="AP1:BE1"/>
    <mergeCell ref="A3:C3"/>
    <mergeCell ref="AK1:AN1"/>
    <mergeCell ref="A25:A33"/>
    <mergeCell ref="A59:A60"/>
    <mergeCell ref="B1:C1"/>
    <mergeCell ref="V1:AJ1"/>
    <mergeCell ref="A2:C2"/>
    <mergeCell ref="A13:A24"/>
    <mergeCell ref="G1:U1"/>
    <mergeCell ref="A4:C4"/>
    <mergeCell ref="A5:A11"/>
    <mergeCell ref="A35:A50"/>
    <mergeCell ref="A52:E52"/>
    <mergeCell ref="A74:A75"/>
    <mergeCell ref="A53:A54"/>
    <mergeCell ref="A55:A56"/>
    <mergeCell ref="A57:A58"/>
    <mergeCell ref="A63:A66"/>
    <mergeCell ref="A68:A69"/>
    <mergeCell ref="A62:E62"/>
    <mergeCell ref="A71:A72"/>
  </mergeCells>
  <hyperlinks>
    <hyperlink ref="A1" r:id="rId1" xr:uid="{00000000-0004-0000-0700-000000000000}"/>
  </hyperlinks>
  <pageMargins left="0.7" right="0.7" top="0.75" bottom="0.75" header="0.3" footer="0.3"/>
  <pageSetup orientation="portrait"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G122"/>
  <sheetViews>
    <sheetView topLeftCell="A82" workbookViewId="0">
      <selection activeCell="D58" sqref="D58"/>
    </sheetView>
  </sheetViews>
  <sheetFormatPr defaultColWidth="8.85546875" defaultRowHeight="12.75"/>
  <cols>
    <col min="1" max="1" width="13.28515625" customWidth="1"/>
    <col min="3" max="3" width="12" customWidth="1"/>
    <col min="4" max="4" width="13.140625" style="9" customWidth="1"/>
    <col min="5" max="5" width="13.7109375" bestFit="1" customWidth="1"/>
    <col min="6" max="6" width="14" customWidth="1"/>
    <col min="7" max="7" width="13.28515625" bestFit="1" customWidth="1"/>
  </cols>
  <sheetData>
    <row r="1" spans="1:7" ht="15.75" customHeight="1" thickBot="1">
      <c r="A1" s="536" t="s">
        <v>380</v>
      </c>
      <c r="B1" s="537"/>
      <c r="C1" s="537"/>
      <c r="D1" s="537"/>
      <c r="E1" s="537"/>
      <c r="F1" s="537"/>
      <c r="G1" s="538"/>
    </row>
    <row r="2" spans="1:7" ht="13.5" thickBot="1">
      <c r="A2" s="193">
        <v>1</v>
      </c>
      <c r="B2" s="194" t="s">
        <v>380</v>
      </c>
      <c r="C2" s="194" t="s">
        <v>172</v>
      </c>
      <c r="D2" s="245" t="s">
        <v>311</v>
      </c>
      <c r="E2" s="194"/>
      <c r="F2" s="194"/>
      <c r="G2" s="195"/>
    </row>
    <row r="3" spans="1:7">
      <c r="A3" s="196"/>
      <c r="B3" s="197" t="s">
        <v>194</v>
      </c>
      <c r="C3" s="197" t="s">
        <v>214</v>
      </c>
      <c r="D3" s="197" t="s">
        <v>40</v>
      </c>
      <c r="E3" s="198" t="s">
        <v>413</v>
      </c>
      <c r="F3" s="197"/>
      <c r="G3" s="199"/>
    </row>
    <row r="4" spans="1:7">
      <c r="A4" s="161"/>
      <c r="B4">
        <v>8</v>
      </c>
      <c r="C4">
        <v>1</v>
      </c>
      <c r="D4">
        <v>3</v>
      </c>
      <c r="E4">
        <v>157948</v>
      </c>
      <c r="F4" t="s">
        <v>215</v>
      </c>
      <c r="G4" s="53">
        <f>((E6-E4)*1024)/((D6+C6)-(D4+C4))</f>
        <v>4534272</v>
      </c>
    </row>
    <row r="5" spans="1:7">
      <c r="A5" s="161"/>
      <c r="B5">
        <v>9</v>
      </c>
      <c r="C5">
        <v>2</v>
      </c>
      <c r="D5">
        <v>3</v>
      </c>
      <c r="E5">
        <v>159184</v>
      </c>
      <c r="F5" s="38" t="s">
        <v>323</v>
      </c>
      <c r="G5" s="53">
        <f>((E7-E5)*1024)/((D7+C7)-(D5+C5))</f>
        <v>6465536</v>
      </c>
    </row>
    <row r="6" spans="1:7">
      <c r="A6" s="39"/>
      <c r="B6">
        <v>4</v>
      </c>
      <c r="C6">
        <v>3</v>
      </c>
      <c r="D6">
        <v>3</v>
      </c>
      <c r="E6">
        <v>166804</v>
      </c>
      <c r="F6" s="38" t="s">
        <v>287</v>
      </c>
      <c r="G6" s="53">
        <f>((E7-E6)*1024)/((D7+C7)-(D6+C6))</f>
        <v>5128192</v>
      </c>
    </row>
    <row r="7" spans="1:7">
      <c r="A7" s="39"/>
      <c r="B7">
        <v>10</v>
      </c>
      <c r="C7">
        <v>4</v>
      </c>
      <c r="D7">
        <v>3</v>
      </c>
      <c r="E7">
        <v>171812</v>
      </c>
      <c r="F7" s="38" t="s">
        <v>288</v>
      </c>
      <c r="G7" s="56">
        <f>((E7-E4)*1024)/((D7+C7)-(D4+C4))</f>
        <v>4732245.333333333</v>
      </c>
    </row>
    <row r="8" spans="1:7" ht="13.5" thickBot="1">
      <c r="A8" s="39"/>
      <c r="D8"/>
      <c r="F8" s="57"/>
      <c r="G8" s="54"/>
    </row>
    <row r="9" spans="1:7">
      <c r="A9" s="39"/>
      <c r="D9"/>
      <c r="F9" s="38"/>
      <c r="G9" s="56">
        <f>AVERAGE(G4:G7)</f>
        <v>5215061.333333333</v>
      </c>
    </row>
    <row r="10" spans="1:7">
      <c r="A10" s="39"/>
      <c r="D10"/>
      <c r="F10" s="38"/>
      <c r="G10" s="56"/>
    </row>
    <row r="11" spans="1:7" ht="15.75" thickBot="1">
      <c r="A11" s="42"/>
      <c r="B11" s="43"/>
      <c r="C11" s="44"/>
      <c r="D11" s="45"/>
      <c r="E11" s="43"/>
      <c r="F11" s="43"/>
      <c r="G11" s="46"/>
    </row>
    <row r="12" spans="1:7" ht="15.75" thickBot="1">
      <c r="A12" s="42"/>
      <c r="B12" s="43"/>
      <c r="C12" s="44"/>
      <c r="D12" s="45"/>
      <c r="E12" s="43"/>
      <c r="F12" s="57"/>
      <c r="G12" s="54"/>
    </row>
    <row r="13" spans="1:7" s="3" customFormat="1" ht="26.25" thickBot="1">
      <c r="A13" s="250">
        <v>2</v>
      </c>
      <c r="B13" s="194" t="s">
        <v>380</v>
      </c>
      <c r="C13" s="362" t="s">
        <v>276</v>
      </c>
      <c r="D13" s="200" t="s">
        <v>275</v>
      </c>
      <c r="E13" s="362"/>
      <c r="F13" s="362"/>
      <c r="G13" s="363"/>
    </row>
    <row r="14" spans="1:7" s="3" customFormat="1" ht="38.25">
      <c r="A14" s="203"/>
      <c r="B14" s="204" t="s">
        <v>194</v>
      </c>
      <c r="C14" s="204" t="s">
        <v>216</v>
      </c>
      <c r="D14" s="205" t="s">
        <v>414</v>
      </c>
      <c r="E14" s="204"/>
      <c r="G14" s="206"/>
    </row>
    <row r="15" spans="1:7">
      <c r="A15" s="161"/>
      <c r="B15">
        <v>4</v>
      </c>
      <c r="C15">
        <v>0</v>
      </c>
      <c r="D15">
        <v>4.5759069649854633E-3</v>
      </c>
      <c r="E15" t="s">
        <v>217</v>
      </c>
      <c r="F15" s="9">
        <f>(D16-D$15)/(C16-C$15)</f>
        <v>1.1856908102641893E-4</v>
      </c>
      <c r="G15" s="40"/>
    </row>
    <row r="16" spans="1:7">
      <c r="A16" s="39"/>
      <c r="B16">
        <v>5</v>
      </c>
      <c r="C16">
        <v>50</v>
      </c>
      <c r="D16">
        <v>1.050436101630641E-2</v>
      </c>
      <c r="E16" s="38" t="s">
        <v>292</v>
      </c>
      <c r="F16" s="9">
        <f>(D17-D$15)/(C17-C$15)</f>
        <v>8.5197825812160263E-5</v>
      </c>
      <c r="G16" s="40"/>
    </row>
    <row r="17" spans="1:7">
      <c r="A17" s="39"/>
      <c r="B17">
        <v>1</v>
      </c>
      <c r="C17">
        <v>100</v>
      </c>
      <c r="D17" s="9">
        <v>1.3095689546201491E-2</v>
      </c>
      <c r="E17" s="38" t="s">
        <v>302</v>
      </c>
      <c r="F17" s="9">
        <f>(D18-D$15)/(C18-C$15)</f>
        <v>8.4818607002907343E-5</v>
      </c>
      <c r="G17" s="40"/>
    </row>
    <row r="18" spans="1:7">
      <c r="A18" s="39"/>
      <c r="B18">
        <v>6</v>
      </c>
      <c r="C18">
        <v>200</v>
      </c>
      <c r="D18" s="9">
        <v>2.1539628365566933E-2</v>
      </c>
      <c r="E18" s="38" t="s">
        <v>303</v>
      </c>
      <c r="F18" s="20">
        <f>(D19-D$15)/(C19-C$15)</f>
        <v>8.1700585682383174E-5</v>
      </c>
      <c r="G18" s="40"/>
    </row>
    <row r="19" spans="1:7">
      <c r="A19" s="39"/>
      <c r="B19">
        <v>7</v>
      </c>
      <c r="C19">
        <v>300</v>
      </c>
      <c r="D19" s="38">
        <v>2.9086082669700416E-2</v>
      </c>
      <c r="E19" s="38" t="s">
        <v>226</v>
      </c>
      <c r="F19" s="9">
        <f>(D18-D$17)/(C18-C$17)</f>
        <v>8.4439388193654423E-5</v>
      </c>
      <c r="G19" s="40"/>
    </row>
    <row r="20" spans="1:7">
      <c r="A20" s="39"/>
      <c r="E20" s="38" t="s">
        <v>304</v>
      </c>
      <c r="F20" s="9">
        <f>(D19-D$18)/(C19-C$18)</f>
        <v>7.5464543041334835E-5</v>
      </c>
      <c r="G20" s="40"/>
    </row>
    <row r="21" spans="1:7">
      <c r="A21" s="161"/>
      <c r="B21" s="204"/>
      <c r="C21" s="204"/>
      <c r="D21" s="205"/>
      <c r="E21" s="204" t="s">
        <v>324</v>
      </c>
      <c r="F21" s="9">
        <f>(D19-D$17)/(C19-C$17)</f>
        <v>7.9951965617494622E-5</v>
      </c>
      <c r="G21" s="40"/>
    </row>
    <row r="22" spans="1:7">
      <c r="A22" s="39"/>
      <c r="E22" s="38"/>
      <c r="F22" s="20">
        <f>GEOMEAN(F15:F21)</f>
        <v>8.6304481701197707E-5</v>
      </c>
      <c r="G22" s="40"/>
    </row>
    <row r="23" spans="1:7" ht="13.5" thickBot="1">
      <c r="A23" s="42"/>
      <c r="B23" s="43"/>
      <c r="C23" s="43"/>
      <c r="D23" s="47"/>
      <c r="E23" s="55"/>
      <c r="F23" s="162"/>
      <c r="G23" s="46"/>
    </row>
    <row r="24" spans="1:7" ht="26.25" thickBot="1">
      <c r="A24" s="250">
        <v>3</v>
      </c>
      <c r="B24" s="194" t="s">
        <v>380</v>
      </c>
      <c r="C24" s="362" t="s">
        <v>277</v>
      </c>
      <c r="D24" s="200" t="s">
        <v>173</v>
      </c>
      <c r="E24" s="362"/>
      <c r="F24" s="362"/>
      <c r="G24" s="363"/>
    </row>
    <row r="25" spans="1:7">
      <c r="A25" s="39"/>
      <c r="B25" s="201" t="s">
        <v>194</v>
      </c>
      <c r="C25" s="201" t="s">
        <v>171</v>
      </c>
      <c r="D25" s="202" t="s">
        <v>326</v>
      </c>
      <c r="G25" s="40"/>
    </row>
    <row r="26" spans="1:7">
      <c r="A26" s="39"/>
      <c r="B26">
        <v>8</v>
      </c>
      <c r="C26" s="38">
        <v>1</v>
      </c>
      <c r="D26" s="9">
        <v>1.3727720894956389E-2</v>
      </c>
      <c r="G26" s="40"/>
    </row>
    <row r="27" spans="1:7" ht="15">
      <c r="A27" s="39"/>
      <c r="B27">
        <v>9</v>
      </c>
      <c r="C27" s="38">
        <v>2</v>
      </c>
      <c r="D27" s="173">
        <v>1.5017064846416382E-2</v>
      </c>
      <c r="E27" s="173">
        <f>(D27-$D$26)/(C27-$C$26)</f>
        <v>1.2893439514599925E-3</v>
      </c>
      <c r="F27" s="252" t="s">
        <v>325</v>
      </c>
      <c r="G27" s="40"/>
    </row>
    <row r="28" spans="1:7" ht="15">
      <c r="A28" s="39"/>
      <c r="B28">
        <v>3</v>
      </c>
      <c r="C28">
        <v>3</v>
      </c>
      <c r="D28" s="9">
        <v>1.6723549488054608E-2</v>
      </c>
      <c r="E28" s="173">
        <f>(D28-$D$26)/(C28-$C$26)</f>
        <v>1.4979142965491094E-3</v>
      </c>
      <c r="F28" s="174" t="s">
        <v>305</v>
      </c>
      <c r="G28" s="40"/>
    </row>
    <row r="29" spans="1:7" ht="15">
      <c r="A29" s="39"/>
      <c r="B29">
        <v>10</v>
      </c>
      <c r="C29">
        <v>4</v>
      </c>
      <c r="D29" s="9">
        <v>1.6420174440652257E-2</v>
      </c>
      <c r="E29" s="173">
        <f>(D29-$D$26)/(C29-$C$26)</f>
        <v>8.9748451523195599E-4</v>
      </c>
      <c r="F29" s="174" t="s">
        <v>306</v>
      </c>
      <c r="G29" s="40" t="e">
        <f>GEOMEAN(E27:E32)</f>
        <v>#NUM!</v>
      </c>
    </row>
    <row r="30" spans="1:7" ht="15">
      <c r="A30" s="39"/>
      <c r="E30" s="173">
        <f>(D28-$D$27)/(C28-$C$27)</f>
        <v>1.7064846416382264E-3</v>
      </c>
      <c r="F30" s="174" t="s">
        <v>349</v>
      </c>
      <c r="G30" s="40"/>
    </row>
    <row r="31" spans="1:7" ht="15">
      <c r="A31" s="39"/>
      <c r="E31" s="173">
        <f>(D29-$D$27)/(C29-$C$27)</f>
        <v>7.015547971179377E-4</v>
      </c>
      <c r="F31" s="174" t="s">
        <v>350</v>
      </c>
      <c r="G31" s="40"/>
    </row>
    <row r="32" spans="1:7" ht="15.75" thickBot="1">
      <c r="A32" s="42"/>
      <c r="B32" s="43"/>
      <c r="C32" s="43"/>
      <c r="D32" s="47"/>
      <c r="E32" s="173">
        <f>(D29-$D$28)/(C29-$C$28)</f>
        <v>-3.0337504740235097E-4</v>
      </c>
      <c r="F32" s="174" t="s">
        <v>351</v>
      </c>
      <c r="G32" s="46"/>
    </row>
    <row r="33" spans="1:7" ht="26.25" thickBot="1">
      <c r="A33" s="250">
        <v>4</v>
      </c>
      <c r="B33" s="194" t="s">
        <v>380</v>
      </c>
      <c r="C33" s="362" t="s">
        <v>280</v>
      </c>
      <c r="D33" s="362" t="s">
        <v>281</v>
      </c>
      <c r="E33" s="362"/>
      <c r="F33" s="362"/>
      <c r="G33" s="363"/>
    </row>
    <row r="34" spans="1:7" ht="30.75" customHeight="1">
      <c r="A34" s="39"/>
      <c r="B34" s="204" t="s">
        <v>194</v>
      </c>
      <c r="C34" s="204" t="s">
        <v>222</v>
      </c>
      <c r="D34" s="204" t="s">
        <v>307</v>
      </c>
      <c r="E34" s="204"/>
      <c r="G34" s="40"/>
    </row>
    <row r="35" spans="1:7">
      <c r="A35" s="39"/>
      <c r="B35">
        <v>8</v>
      </c>
      <c r="C35">
        <v>1</v>
      </c>
      <c r="D35">
        <v>4.1714069017823284E-3</v>
      </c>
      <c r="E35" t="s">
        <v>223</v>
      </c>
      <c r="F35">
        <f>(D36-D35)/(C36-C35)</f>
        <v>1.4789533560864623E-3</v>
      </c>
      <c r="G35" s="40"/>
    </row>
    <row r="36" spans="1:7">
      <c r="A36" s="39"/>
      <c r="B36">
        <v>11</v>
      </c>
      <c r="C36">
        <v>2</v>
      </c>
      <c r="D36">
        <v>5.6503602578687907E-3</v>
      </c>
      <c r="E36" s="38"/>
      <c r="F36" s="17"/>
      <c r="G36" s="40"/>
    </row>
    <row r="37" spans="1:7" ht="13.5" thickBot="1">
      <c r="A37" s="42"/>
      <c r="B37" s="43"/>
      <c r="C37" s="43"/>
      <c r="D37" s="43"/>
      <c r="E37" s="43"/>
      <c r="F37" s="43"/>
      <c r="G37" s="46"/>
    </row>
    <row r="38" spans="1:7" ht="64.5" thickBot="1">
      <c r="A38" s="250">
        <v>5</v>
      </c>
      <c r="B38" s="194" t="s">
        <v>380</v>
      </c>
      <c r="C38" s="362" t="s">
        <v>284</v>
      </c>
      <c r="D38" s="362" t="s">
        <v>285</v>
      </c>
      <c r="E38" s="362"/>
      <c r="F38" s="362"/>
      <c r="G38" s="363"/>
    </row>
    <row r="39" spans="1:7">
      <c r="A39" s="49"/>
      <c r="B39" s="209" t="s">
        <v>194</v>
      </c>
      <c r="C39" s="210" t="s">
        <v>196</v>
      </c>
      <c r="D39" s="209" t="s">
        <v>207</v>
      </c>
      <c r="E39" s="50"/>
      <c r="F39" s="50"/>
      <c r="G39" s="51"/>
    </row>
    <row r="40" spans="1:7">
      <c r="A40" s="39"/>
      <c r="B40">
        <v>4</v>
      </c>
      <c r="C40" s="1">
        <v>0</v>
      </c>
      <c r="D40">
        <v>0.7</v>
      </c>
      <c r="G40" s="40"/>
    </row>
    <row r="41" spans="1:7">
      <c r="A41" s="39"/>
      <c r="B41">
        <v>5</v>
      </c>
      <c r="C41" s="1">
        <v>50</v>
      </c>
      <c r="D41">
        <v>0.9</v>
      </c>
      <c r="E41" s="275">
        <f>+(D41-D40)/C41</f>
        <v>4.000000000000001E-3</v>
      </c>
      <c r="G41" s="40"/>
    </row>
    <row r="42" spans="1:7">
      <c r="A42" s="39"/>
      <c r="B42">
        <v>1</v>
      </c>
      <c r="C42" s="1">
        <v>100</v>
      </c>
      <c r="D42">
        <v>1</v>
      </c>
      <c r="E42" s="275"/>
      <c r="G42" s="40"/>
    </row>
    <row r="43" spans="1:7">
      <c r="A43" s="39"/>
      <c r="B43">
        <v>6</v>
      </c>
      <c r="C43" s="1">
        <v>200</v>
      </c>
      <c r="D43">
        <v>1.1000000000000001</v>
      </c>
      <c r="G43" s="40"/>
    </row>
    <row r="44" spans="1:7" ht="13.5" thickBot="1">
      <c r="A44" s="42"/>
      <c r="B44" s="43">
        <v>7</v>
      </c>
      <c r="C44" s="52">
        <v>300</v>
      </c>
      <c r="D44" s="43">
        <v>1.1000000000000001</v>
      </c>
      <c r="E44" s="43"/>
      <c r="F44" s="43"/>
      <c r="G44" s="46"/>
    </row>
    <row r="45" spans="1:7" ht="13.5" thickBot="1">
      <c r="A45" s="42"/>
      <c r="B45" s="43"/>
      <c r="C45" s="43"/>
      <c r="D45" s="52"/>
      <c r="E45" s="43"/>
      <c r="F45" s="43"/>
      <c r="G45" s="46"/>
    </row>
    <row r="46" spans="1:7" ht="26.25" thickBot="1">
      <c r="A46" s="250">
        <v>6</v>
      </c>
      <c r="B46" s="194" t="s">
        <v>380</v>
      </c>
      <c r="C46" s="362" t="s">
        <v>298</v>
      </c>
      <c r="D46" s="200" t="s">
        <v>275</v>
      </c>
      <c r="E46" s="362"/>
      <c r="F46" s="362"/>
      <c r="G46" s="363"/>
    </row>
    <row r="47" spans="1:7" ht="51">
      <c r="A47" s="39"/>
      <c r="B47" s="204" t="s">
        <v>194</v>
      </c>
      <c r="C47" s="204" t="s">
        <v>216</v>
      </c>
      <c r="D47" s="205" t="s">
        <v>299</v>
      </c>
      <c r="E47" s="204"/>
      <c r="G47" s="40"/>
    </row>
    <row r="48" spans="1:7" ht="13.5" customHeight="1">
      <c r="A48" s="39" t="s">
        <v>291</v>
      </c>
      <c r="B48">
        <v>3</v>
      </c>
      <c r="C48">
        <v>0</v>
      </c>
      <c r="D48" s="9">
        <v>5.2666666666666669E-3</v>
      </c>
      <c r="E48" t="s">
        <v>217</v>
      </c>
      <c r="F48" s="9">
        <f>(D49-D48)/(C49-C48)</f>
        <v>9.5926666666666671E-5</v>
      </c>
      <c r="G48" s="40"/>
    </row>
    <row r="49" spans="1:7" ht="13.5" customHeight="1">
      <c r="A49" s="39"/>
      <c r="B49">
        <v>5</v>
      </c>
      <c r="C49">
        <v>50</v>
      </c>
      <c r="D49" s="9">
        <v>1.0063000000000001E-2</v>
      </c>
      <c r="E49" t="s">
        <v>218</v>
      </c>
      <c r="F49" s="9">
        <f>(D50-D49)/(C50-C49)</f>
        <v>7.4073333333333314E-5</v>
      </c>
      <c r="G49" s="40"/>
    </row>
    <row r="50" spans="1:7" ht="13.5" customHeight="1">
      <c r="A50" s="39"/>
      <c r="B50">
        <v>1</v>
      </c>
      <c r="C50">
        <v>100</v>
      </c>
      <c r="D50" s="9">
        <v>1.3766666666666667E-2</v>
      </c>
      <c r="E50" t="s">
        <v>292</v>
      </c>
      <c r="F50" s="9">
        <f>(D50-D48)/(C50-C48)</f>
        <v>8.5000000000000006E-5</v>
      </c>
      <c r="G50" s="40"/>
    </row>
    <row r="51" spans="1:7" ht="13.5" customHeight="1">
      <c r="A51" s="39"/>
      <c r="B51">
        <v>6</v>
      </c>
      <c r="C51">
        <v>200</v>
      </c>
      <c r="D51" s="9">
        <v>2.1233333333333333E-2</v>
      </c>
      <c r="E51" t="s">
        <v>227</v>
      </c>
      <c r="F51" s="9">
        <f>(D51-D48)/(C51-C48)</f>
        <v>7.983333333333334E-5</v>
      </c>
      <c r="G51" s="253">
        <f>AVERAGE(F52,F51,F50,F48)</f>
        <v>8.5134444444444452E-5</v>
      </c>
    </row>
    <row r="52" spans="1:7" ht="13.5" customHeight="1">
      <c r="A52" s="39"/>
      <c r="B52">
        <v>7</v>
      </c>
      <c r="C52">
        <v>300</v>
      </c>
      <c r="D52" s="9">
        <v>2.92E-2</v>
      </c>
      <c r="E52" t="s">
        <v>293</v>
      </c>
      <c r="F52" s="162">
        <f>(D52-D48)/(C52-C48)</f>
        <v>7.9777777777777776E-5</v>
      </c>
      <c r="G52" s="40"/>
    </row>
    <row r="53" spans="1:7" ht="13.5" customHeight="1">
      <c r="A53" s="39"/>
      <c r="F53" s="9"/>
      <c r="G53" s="40"/>
    </row>
    <row r="54" spans="1:7" ht="13.5" customHeight="1" thickBot="1">
      <c r="A54" s="42"/>
      <c r="B54" s="43"/>
      <c r="C54" s="43"/>
      <c r="D54" s="47"/>
      <c r="E54" s="43"/>
      <c r="F54" s="48"/>
      <c r="G54" s="46"/>
    </row>
    <row r="55" spans="1:7">
      <c r="F55" s="20"/>
    </row>
    <row r="56" spans="1:7" ht="15.75" thickBot="1">
      <c r="C56" s="35"/>
      <c r="D56" s="34"/>
    </row>
    <row r="57" spans="1:7" ht="15.75" customHeight="1" thickBot="1">
      <c r="A57" s="539" t="s">
        <v>412</v>
      </c>
      <c r="B57" s="540"/>
      <c r="C57" s="540"/>
      <c r="D57" s="540"/>
      <c r="E57" s="540"/>
      <c r="F57" s="540"/>
      <c r="G57" s="541"/>
    </row>
    <row r="58" spans="1:7" ht="26.25" thickBot="1">
      <c r="A58" s="250">
        <v>1</v>
      </c>
      <c r="B58" s="362" t="s">
        <v>416</v>
      </c>
      <c r="C58" s="362" t="s">
        <v>172</v>
      </c>
      <c r="D58" s="200" t="s">
        <v>213</v>
      </c>
      <c r="E58" s="362"/>
      <c r="F58" s="362"/>
      <c r="G58" s="363"/>
    </row>
    <row r="59" spans="1:7" ht="13.5" thickBot="1">
      <c r="A59" s="39"/>
      <c r="B59" s="201" t="s">
        <v>194</v>
      </c>
      <c r="C59" s="201" t="s">
        <v>214</v>
      </c>
      <c r="D59" s="201" t="s">
        <v>40</v>
      </c>
      <c r="E59" s="202" t="s">
        <v>415</v>
      </c>
      <c r="G59" s="40"/>
    </row>
    <row r="60" spans="1:7" ht="13.5" thickBot="1">
      <c r="A60" s="39"/>
      <c r="B60">
        <v>3</v>
      </c>
      <c r="C60">
        <v>1</v>
      </c>
      <c r="D60">
        <v>3</v>
      </c>
      <c r="E60" s="50">
        <v>156388</v>
      </c>
      <c r="F60" s="38" t="s">
        <v>327</v>
      </c>
      <c r="G60" s="40">
        <f>((E61-$E$60)*1024)/((D61+C61)-($D$60+$C$60))</f>
        <v>3477504</v>
      </c>
    </row>
    <row r="61" spans="1:7">
      <c r="A61" s="39"/>
      <c r="B61">
        <v>4</v>
      </c>
      <c r="C61">
        <v>2</v>
      </c>
      <c r="D61">
        <v>3</v>
      </c>
      <c r="E61" s="50">
        <v>159784</v>
      </c>
      <c r="F61" s="38" t="s">
        <v>215</v>
      </c>
      <c r="G61" s="40">
        <f>((E62-$E$60)*1024)/((D62+C62)-($D$60+$C$60))</f>
        <v>5916672</v>
      </c>
    </row>
    <row r="62" spans="1:7" ht="13.5" thickBot="1">
      <c r="A62" s="39"/>
      <c r="B62">
        <v>14</v>
      </c>
      <c r="C62">
        <v>3</v>
      </c>
      <c r="D62">
        <v>3</v>
      </c>
      <c r="E62">
        <v>167944</v>
      </c>
      <c r="F62" s="38" t="s">
        <v>288</v>
      </c>
      <c r="G62" s="40">
        <f>((E63-$E$60)*1024)/((D63+C63)-($D$60+$C$60))</f>
        <v>4896085.333333333</v>
      </c>
    </row>
    <row r="63" spans="1:7" ht="13.5" thickBot="1">
      <c r="A63" s="39"/>
      <c r="B63">
        <v>6</v>
      </c>
      <c r="C63">
        <v>4</v>
      </c>
      <c r="D63">
        <v>3</v>
      </c>
      <c r="E63" s="50">
        <v>170732</v>
      </c>
      <c r="F63" s="38" t="s">
        <v>356</v>
      </c>
      <c r="G63" s="41">
        <f>((E64-$E$60)*1024)/((D64+C64)-($D$60+$C$60))</f>
        <v>3301961.1428571427</v>
      </c>
    </row>
    <row r="64" spans="1:7">
      <c r="A64" s="39"/>
      <c r="B64">
        <v>7</v>
      </c>
      <c r="C64">
        <v>8</v>
      </c>
      <c r="D64">
        <v>3</v>
      </c>
      <c r="E64" s="50">
        <v>178960</v>
      </c>
      <c r="F64" s="38" t="s">
        <v>357</v>
      </c>
      <c r="G64" s="40">
        <f>((E64-$E$62)*1024)/((D64+C64)-($D$62+$C$62))</f>
        <v>2256076.7999999998</v>
      </c>
    </row>
    <row r="65" spans="1:7" ht="15.75" thickBot="1">
      <c r="A65" s="39"/>
      <c r="C65" s="35"/>
      <c r="D65" s="34"/>
      <c r="G65" s="40">
        <f>GEOMEAN(G60:G64)</f>
        <v>3758927.8492045286</v>
      </c>
    </row>
    <row r="66" spans="1:7" ht="26.25" thickBot="1">
      <c r="A66" s="250">
        <v>2</v>
      </c>
      <c r="B66" s="362" t="s">
        <v>416</v>
      </c>
      <c r="C66" s="362" t="s">
        <v>276</v>
      </c>
      <c r="D66" s="200" t="s">
        <v>275</v>
      </c>
      <c r="E66" s="362"/>
      <c r="F66" s="194"/>
      <c r="G66" s="123"/>
    </row>
    <row r="67" spans="1:7" ht="13.5" customHeight="1">
      <c r="A67" s="39"/>
      <c r="B67" s="207" t="s">
        <v>194</v>
      </c>
      <c r="C67" s="207" t="s">
        <v>216</v>
      </c>
      <c r="D67" s="208" t="s">
        <v>219</v>
      </c>
      <c r="E67" s="207"/>
      <c r="G67" s="40"/>
    </row>
    <row r="68" spans="1:7" ht="13.5" customHeight="1">
      <c r="A68" s="39" t="s">
        <v>291</v>
      </c>
      <c r="B68">
        <v>14</v>
      </c>
      <c r="C68">
        <v>0</v>
      </c>
      <c r="D68" s="9">
        <v>4.2598912906080142E-3</v>
      </c>
      <c r="F68" s="9"/>
      <c r="G68" s="40"/>
    </row>
    <row r="69" spans="1:7" ht="13.5" customHeight="1">
      <c r="A69" s="39"/>
      <c r="B69">
        <v>13</v>
      </c>
      <c r="C69">
        <v>100</v>
      </c>
      <c r="D69" s="9">
        <v>1.2880798887624827E-2</v>
      </c>
      <c r="E69" t="s">
        <v>292</v>
      </c>
      <c r="F69" s="9">
        <f>(D69-D68)/(C69-C68)</f>
        <v>8.6209075970168118E-5</v>
      </c>
      <c r="G69" s="40"/>
    </row>
    <row r="70" spans="1:7" ht="13.5" customHeight="1">
      <c r="A70" s="39"/>
      <c r="B70">
        <v>8</v>
      </c>
      <c r="C70">
        <v>200</v>
      </c>
      <c r="D70" s="9">
        <v>2.0275565668057136E-2</v>
      </c>
      <c r="E70" t="s">
        <v>227</v>
      </c>
      <c r="F70" s="9">
        <f>(D70-D68)/(C70-C68)</f>
        <v>8.0078371887245609E-5</v>
      </c>
      <c r="G70" s="40"/>
    </row>
    <row r="71" spans="1:7" ht="13.5" customHeight="1">
      <c r="A71" s="39"/>
      <c r="B71">
        <v>9</v>
      </c>
      <c r="C71">
        <v>300</v>
      </c>
      <c r="D71" s="9">
        <v>2.9149285804575906E-2</v>
      </c>
      <c r="E71" t="s">
        <v>293</v>
      </c>
      <c r="F71" s="20">
        <f>(D71-D68)/(C71-C68)</f>
        <v>8.2964648379892976E-5</v>
      </c>
      <c r="G71" s="40"/>
    </row>
    <row r="72" spans="1:7" ht="13.5" customHeight="1">
      <c r="A72" s="39"/>
      <c r="F72" s="9"/>
      <c r="G72" s="40"/>
    </row>
    <row r="73" spans="1:7" ht="13.5" customHeight="1" thickBot="1">
      <c r="A73" s="42"/>
      <c r="B73" s="43"/>
      <c r="C73" s="43"/>
      <c r="D73" s="47"/>
      <c r="E73" s="43"/>
      <c r="F73" s="48"/>
      <c r="G73" s="46"/>
    </row>
    <row r="74" spans="1:7" ht="26.25" thickBot="1">
      <c r="A74" s="250">
        <v>3</v>
      </c>
      <c r="B74" s="362" t="s">
        <v>416</v>
      </c>
      <c r="C74" s="362" t="s">
        <v>278</v>
      </c>
      <c r="D74" s="362" t="s">
        <v>279</v>
      </c>
      <c r="E74" s="362"/>
      <c r="F74" s="362"/>
      <c r="G74" s="363"/>
    </row>
    <row r="75" spans="1:7" ht="25.5">
      <c r="A75" s="39"/>
      <c r="B75" s="204" t="s">
        <v>194</v>
      </c>
      <c r="C75" s="204" t="s">
        <v>193</v>
      </c>
      <c r="D75" s="204" t="s">
        <v>220</v>
      </c>
      <c r="E75" s="204"/>
      <c r="G75" s="40"/>
    </row>
    <row r="76" spans="1:7" ht="13.5" customHeight="1">
      <c r="A76" s="39"/>
      <c r="B76">
        <v>3</v>
      </c>
      <c r="C76">
        <v>1</v>
      </c>
      <c r="D76">
        <v>1.3689799014031096E-2</v>
      </c>
      <c r="E76" t="s">
        <v>221</v>
      </c>
      <c r="F76" s="9">
        <f>(D78-D76)/(C78-C76)</f>
        <v>1.632220958159525E-3</v>
      </c>
      <c r="G76" s="40"/>
    </row>
    <row r="77" spans="1:7" ht="13.5" customHeight="1">
      <c r="A77" s="39"/>
      <c r="B77">
        <v>4</v>
      </c>
      <c r="C77">
        <v>2</v>
      </c>
      <c r="D77">
        <v>1.5168752370117557E-2</v>
      </c>
      <c r="E77" s="38" t="s">
        <v>223</v>
      </c>
      <c r="F77" s="9">
        <f>(D77-D76)/(C77-C76)</f>
        <v>1.4789533560864605E-3</v>
      </c>
      <c r="G77" s="40"/>
    </row>
    <row r="78" spans="1:7" ht="13.5" customHeight="1">
      <c r="A78" s="39"/>
      <c r="B78">
        <v>14</v>
      </c>
      <c r="C78">
        <v>3</v>
      </c>
      <c r="D78">
        <v>1.6954240930350147E-2</v>
      </c>
      <c r="E78" s="38" t="s">
        <v>294</v>
      </c>
      <c r="F78" s="9">
        <f>(D79-D78)/(C79-C78)</f>
        <v>9.5307799266845447E-4</v>
      </c>
      <c r="G78" s="40"/>
    </row>
    <row r="79" spans="1:7" ht="13.5" customHeight="1">
      <c r="A79" s="39"/>
      <c r="B79">
        <v>6</v>
      </c>
      <c r="C79">
        <v>4</v>
      </c>
      <c r="D79">
        <v>1.7907318923018601E-2</v>
      </c>
      <c r="E79" s="38" t="s">
        <v>295</v>
      </c>
      <c r="F79" s="162">
        <f>(D79-D76)/(C79-C76)</f>
        <v>1.4058399696625014E-3</v>
      </c>
      <c r="G79" s="40"/>
    </row>
    <row r="80" spans="1:7" ht="13.5" customHeight="1">
      <c r="A80" s="39"/>
      <c r="B80">
        <v>7</v>
      </c>
      <c r="C80">
        <v>8</v>
      </c>
      <c r="D80">
        <v>2.388130451270383E-2</v>
      </c>
      <c r="E80" s="38" t="s">
        <v>358</v>
      </c>
      <c r="F80" s="20">
        <f>(D80-D76)/(C80-C76)</f>
        <v>1.4559293569532477E-3</v>
      </c>
      <c r="G80" s="40"/>
    </row>
    <row r="81" spans="1:7" ht="13.5" customHeight="1">
      <c r="A81" s="39"/>
      <c r="D81"/>
      <c r="E81" s="38" t="s">
        <v>328</v>
      </c>
      <c r="F81" s="162">
        <f>(D78-D77)/(C78-C77)</f>
        <v>1.7854885602325895E-3</v>
      </c>
      <c r="G81" s="40"/>
    </row>
    <row r="82" spans="1:7" ht="13.5" customHeight="1" thickBot="1">
      <c r="A82" s="42"/>
      <c r="B82" s="43"/>
      <c r="C82" s="43"/>
      <c r="D82" s="43"/>
      <c r="E82" s="43"/>
      <c r="F82" s="43"/>
      <c r="G82" s="46"/>
    </row>
    <row r="83" spans="1:7" ht="26.25" thickBot="1">
      <c r="A83" s="250">
        <v>4</v>
      </c>
      <c r="B83" s="362" t="s">
        <v>416</v>
      </c>
      <c r="C83" s="362" t="s">
        <v>280</v>
      </c>
      <c r="D83" s="362" t="s">
        <v>281</v>
      </c>
      <c r="E83" s="362"/>
      <c r="F83" s="362"/>
      <c r="G83" s="363"/>
    </row>
    <row r="84" spans="1:7" ht="25.5">
      <c r="A84" s="39"/>
      <c r="B84" s="204" t="s">
        <v>194</v>
      </c>
      <c r="C84" s="204" t="s">
        <v>222</v>
      </c>
      <c r="D84" s="204" t="s">
        <v>220</v>
      </c>
      <c r="E84" s="204"/>
      <c r="G84" s="40"/>
    </row>
    <row r="85" spans="1:7" ht="13.5" customHeight="1">
      <c r="A85" s="161" t="s">
        <v>296</v>
      </c>
      <c r="B85">
        <v>3</v>
      </c>
      <c r="C85">
        <v>1</v>
      </c>
      <c r="D85">
        <v>3.9059537353052713E-3</v>
      </c>
      <c r="E85" s="38" t="s">
        <v>295</v>
      </c>
      <c r="F85">
        <f>(D86-D85)/(C86-C85)</f>
        <v>3.9893818733409284E-4</v>
      </c>
      <c r="G85" s="40"/>
    </row>
    <row r="86" spans="1:7" ht="13.5" customHeight="1">
      <c r="A86" s="39"/>
      <c r="B86">
        <v>10</v>
      </c>
      <c r="C86">
        <v>4</v>
      </c>
      <c r="D86">
        <v>5.1027682973075498E-3</v>
      </c>
      <c r="E86" s="38"/>
      <c r="F86" s="38"/>
      <c r="G86" s="40"/>
    </row>
    <row r="87" spans="1:7" ht="13.5" customHeight="1">
      <c r="A87" s="39"/>
      <c r="D87"/>
      <c r="F87" s="17"/>
      <c r="G87" s="40"/>
    </row>
    <row r="88" spans="1:7" ht="13.5" customHeight="1">
      <c r="A88" s="39"/>
      <c r="D88"/>
      <c r="G88" s="40"/>
    </row>
    <row r="89" spans="1:7" ht="13.5" customHeight="1">
      <c r="A89" s="39"/>
      <c r="D89"/>
      <c r="G89" s="40"/>
    </row>
    <row r="90" spans="1:7" ht="13.5" customHeight="1" thickBot="1">
      <c r="A90" s="42"/>
      <c r="B90" s="43"/>
      <c r="C90" s="43"/>
      <c r="D90" s="43"/>
      <c r="E90" s="43"/>
      <c r="F90" s="43"/>
      <c r="G90" s="46"/>
    </row>
    <row r="91" spans="1:7" ht="64.5" thickBot="1">
      <c r="A91" s="250">
        <v>5</v>
      </c>
      <c r="B91" s="362" t="s">
        <v>416</v>
      </c>
      <c r="C91" s="362" t="s">
        <v>284</v>
      </c>
      <c r="D91" s="362" t="s">
        <v>285</v>
      </c>
      <c r="E91" s="362"/>
      <c r="F91" s="362"/>
      <c r="G91" s="363"/>
    </row>
    <row r="92" spans="1:7" ht="38.25">
      <c r="A92" s="49"/>
      <c r="B92" s="211" t="s">
        <v>194</v>
      </c>
      <c r="C92" s="211" t="s">
        <v>297</v>
      </c>
      <c r="D92" s="212" t="s">
        <v>196</v>
      </c>
      <c r="E92" s="211"/>
      <c r="F92" s="50"/>
      <c r="G92" s="51"/>
    </row>
    <row r="93" spans="1:7" ht="13.5" customHeight="1">
      <c r="A93" s="161" t="s">
        <v>291</v>
      </c>
      <c r="B93">
        <v>14</v>
      </c>
      <c r="C93">
        <v>0.9</v>
      </c>
      <c r="D93" s="1">
        <v>0</v>
      </c>
      <c r="G93" s="40"/>
    </row>
    <row r="94" spans="1:7" ht="13.5" customHeight="1">
      <c r="A94" s="39"/>
      <c r="B94">
        <v>13</v>
      </c>
      <c r="C94">
        <v>0.9</v>
      </c>
      <c r="D94" s="1">
        <v>100</v>
      </c>
      <c r="F94">
        <f>+(C95-C94)/D94</f>
        <v>1.2000000000000002E-2</v>
      </c>
      <c r="G94" s="40"/>
    </row>
    <row r="95" spans="1:7" ht="13.5" customHeight="1">
      <c r="A95" s="39"/>
      <c r="B95">
        <v>8</v>
      </c>
      <c r="C95">
        <v>2.1</v>
      </c>
      <c r="D95" s="1">
        <v>200</v>
      </c>
      <c r="F95" s="17"/>
      <c r="G95" s="40"/>
    </row>
    <row r="96" spans="1:7" ht="13.5" customHeight="1">
      <c r="A96" s="39"/>
      <c r="B96">
        <v>9</v>
      </c>
      <c r="C96">
        <v>1.5</v>
      </c>
      <c r="D96" s="1">
        <v>300</v>
      </c>
      <c r="G96" s="40"/>
    </row>
    <row r="97" spans="1:7" ht="13.5" customHeight="1">
      <c r="A97" s="39"/>
      <c r="D97" s="1"/>
      <c r="G97" s="40"/>
    </row>
    <row r="98" spans="1:7" ht="13.5" customHeight="1" thickBot="1">
      <c r="A98" s="42"/>
      <c r="B98" s="43"/>
      <c r="C98" s="43"/>
      <c r="D98" s="52"/>
      <c r="E98" s="43"/>
      <c r="F98" s="43"/>
      <c r="G98" s="46"/>
    </row>
    <row r="99" spans="1:7" ht="26.25" thickBot="1">
      <c r="A99" s="250">
        <v>6</v>
      </c>
      <c r="B99" s="362" t="s">
        <v>416</v>
      </c>
      <c r="C99" s="362" t="s">
        <v>298</v>
      </c>
      <c r="D99" s="200" t="s">
        <v>275</v>
      </c>
      <c r="E99" s="362"/>
      <c r="F99" s="362"/>
      <c r="G99" s="363"/>
    </row>
    <row r="100" spans="1:7" ht="13.5" customHeight="1">
      <c r="A100" s="39"/>
      <c r="B100" s="17" t="s">
        <v>194</v>
      </c>
      <c r="C100" s="17" t="s">
        <v>216</v>
      </c>
      <c r="D100" s="20" t="s">
        <v>299</v>
      </c>
      <c r="E100" s="17"/>
      <c r="F100" s="17"/>
      <c r="G100" s="40"/>
    </row>
    <row r="101" spans="1:7" ht="13.5" customHeight="1">
      <c r="A101" s="39" t="s">
        <v>291</v>
      </c>
      <c r="B101">
        <v>14</v>
      </c>
      <c r="C101">
        <v>0</v>
      </c>
      <c r="D101" s="9">
        <v>4.2666666666666669E-3</v>
      </c>
      <c r="F101" s="9"/>
      <c r="G101" s="40"/>
    </row>
    <row r="102" spans="1:7" ht="13.5" customHeight="1">
      <c r="A102" s="39"/>
      <c r="B102">
        <v>13</v>
      </c>
      <c r="C102">
        <v>100</v>
      </c>
      <c r="D102" s="9">
        <v>1.11E-2</v>
      </c>
      <c r="E102" t="s">
        <v>292</v>
      </c>
      <c r="F102" s="9">
        <f>(D102-D101)/(C102-C101)</f>
        <v>6.8333333333333332E-5</v>
      </c>
      <c r="G102" s="40"/>
    </row>
    <row r="103" spans="1:7" ht="13.5" customHeight="1">
      <c r="A103" s="39"/>
      <c r="B103">
        <v>8</v>
      </c>
      <c r="C103">
        <v>200</v>
      </c>
      <c r="D103" s="9">
        <v>1.7299999999999999E-2</v>
      </c>
      <c r="E103" t="s">
        <v>227</v>
      </c>
      <c r="F103" s="9">
        <f>(D103-D101)/(C103-C101)</f>
        <v>6.5166666666666661E-5</v>
      </c>
      <c r="G103" s="163">
        <f>AVERAGE(F104,F103,F102,F101)</f>
        <v>6.9092592592592586E-5</v>
      </c>
    </row>
    <row r="104" spans="1:7" ht="13.5" customHeight="1">
      <c r="A104" s="39"/>
      <c r="B104">
        <v>9</v>
      </c>
      <c r="C104">
        <v>300</v>
      </c>
      <c r="D104" s="9">
        <v>2.64E-2</v>
      </c>
      <c r="E104" t="s">
        <v>293</v>
      </c>
      <c r="F104" s="162">
        <f>(D104-D101)/(C104-C101)</f>
        <v>7.3777777777777766E-5</v>
      </c>
      <c r="G104" s="40"/>
    </row>
    <row r="105" spans="1:7" ht="13.5" customHeight="1">
      <c r="A105" s="39"/>
      <c r="F105" s="9"/>
      <c r="G105" s="40"/>
    </row>
    <row r="106" spans="1:7" ht="13.5" customHeight="1" thickBot="1">
      <c r="A106" s="42"/>
      <c r="B106" s="43"/>
      <c r="C106" s="43"/>
      <c r="D106" s="47"/>
      <c r="E106" s="43"/>
      <c r="F106" s="48"/>
      <c r="G106" s="46"/>
    </row>
    <row r="107" spans="1:7" ht="13.5" customHeight="1">
      <c r="D107" s="1"/>
    </row>
    <row r="108" spans="1:7" ht="13.5" customHeight="1">
      <c r="D108"/>
    </row>
    <row r="109" spans="1:7" ht="13.5" customHeight="1">
      <c r="A109" s="38"/>
      <c r="D109"/>
    </row>
    <row r="110" spans="1:7" ht="13.5" customHeight="1">
      <c r="D110"/>
    </row>
    <row r="111" spans="1:7" ht="13.5" customHeight="1">
      <c r="D111"/>
    </row>
    <row r="112" spans="1:7" ht="13.5" customHeight="1">
      <c r="C112" s="17"/>
    </row>
    <row r="113" spans="2:6">
      <c r="C113" s="1"/>
    </row>
    <row r="116" spans="2:6">
      <c r="B116" s="38"/>
    </row>
    <row r="117" spans="2:6">
      <c r="B117" s="38"/>
      <c r="C117" s="38"/>
      <c r="D117" s="162"/>
    </row>
    <row r="118" spans="2:6">
      <c r="E118" s="9"/>
      <c r="F118" s="38"/>
    </row>
    <row r="119" spans="2:6">
      <c r="E119" s="9"/>
      <c r="F119" s="38"/>
    </row>
    <row r="120" spans="2:6">
      <c r="E120" s="9"/>
      <c r="F120" s="38"/>
    </row>
    <row r="121" spans="2:6">
      <c r="E121" s="9"/>
      <c r="F121" s="38"/>
    </row>
    <row r="122" spans="2:6">
      <c r="E122" s="20"/>
      <c r="F122" s="38"/>
    </row>
  </sheetData>
  <sheetProtection sheet="1" objects="1" scenarios="1"/>
  <mergeCells count="2">
    <mergeCell ref="A1:G1"/>
    <mergeCell ref="A57:G57"/>
  </mergeCells>
  <pageMargins left="0.7" right="0.7" top="0.75" bottom="0.75" header="0.3" footer="0.3"/>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44F1A14F116D47A1A5146B7371AC6B" ma:contentTypeVersion="2" ma:contentTypeDescription="Create a new document." ma:contentTypeScope="" ma:versionID="6fb3a4bc4420f665ed5df097ed982076">
  <xsd:schema xmlns:xsd="http://www.w3.org/2001/XMLSchema" xmlns:xs="http://www.w3.org/2001/XMLSchema" xmlns:p="http://schemas.microsoft.com/office/2006/metadata/properties" xmlns:ns2="c6cf6f63-9901-4474-b80d-6ba11d839829" targetNamespace="http://schemas.microsoft.com/office/2006/metadata/properties" ma:root="true" ma:fieldsID="3942f08911748fb80fc346ca72f361dd" ns2:_="">
    <xsd:import namespace="c6cf6f63-9901-4474-b80d-6ba11d83982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cf6f63-9901-4474-b80d-6ba11d8398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123B50-D1FE-43E0-8CA9-16F387C43B5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A3D63F7-12E4-48E8-B16A-69492D792144}">
  <ds:schemaRefs>
    <ds:schemaRef ds:uri="http://schemas.microsoft.com/sharepoint/v3/contenttype/forms"/>
  </ds:schemaRefs>
</ds:datastoreItem>
</file>

<file path=customXml/itemProps3.xml><?xml version="1.0" encoding="utf-8"?>
<ds:datastoreItem xmlns:ds="http://schemas.openxmlformats.org/officeDocument/2006/customXml" ds:itemID="{B9DA1597-DBFD-4409-BE0D-D1D6524339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cf6f63-9901-4474-b80d-6ba11d8398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70</vt:i4>
      </vt:variant>
    </vt:vector>
  </HeadingPairs>
  <TitlesOfParts>
    <vt:vector size="79" baseType="lpstr">
      <vt:lpstr>Document Front Page</vt:lpstr>
      <vt:lpstr>Instructions</vt:lpstr>
      <vt:lpstr>Quick Sizing</vt:lpstr>
      <vt:lpstr>Advanced Sizing</vt:lpstr>
      <vt:lpstr>Data</vt:lpstr>
      <vt:lpstr>Notes</vt:lpstr>
      <vt:lpstr>Comparison-941Vs942</vt:lpstr>
      <vt:lpstr>RawDataCollection-9.4.2</vt:lpstr>
      <vt:lpstr>Temp-scratch942</vt:lpstr>
      <vt:lpstr>ActiveNotificationsPerManagedPortOrInterface</vt:lpstr>
      <vt:lpstr>'Quick Sizing'!AggregateNotificationCPUTime</vt:lpstr>
      <vt:lpstr>AggregateNotificationLatency</vt:lpstr>
      <vt:lpstr>AggregateSAMsForNotificationCPU</vt:lpstr>
      <vt:lpstr>AggregateSAMsForToposyncCPu</vt:lpstr>
      <vt:lpstr>AggregateTopoSyncCPUTime</vt:lpstr>
      <vt:lpstr>AggregateToposyncLatency</vt:lpstr>
      <vt:lpstr>AggregateTrapCPU</vt:lpstr>
      <vt:lpstr>AggSAMsForToposyncAndNotifications</vt:lpstr>
      <vt:lpstr>AggSAMsForTraps</vt:lpstr>
      <vt:lpstr>AggSAMsRequired</vt:lpstr>
      <vt:lpstr>AttributesPerIPNotification</vt:lpstr>
      <vt:lpstr>ConsoleCPUPerDownEvent</vt:lpstr>
      <vt:lpstr>ConsolesNotificationCPU</vt:lpstr>
      <vt:lpstr>CPUPerDownEvent</vt:lpstr>
      <vt:lpstr>CpuPerDownTrap</vt:lpstr>
      <vt:lpstr>'Quick Sizing'!CPUSpeedRatio</vt:lpstr>
      <vt:lpstr>CPUUtilizationFor1SourceOrDestination</vt:lpstr>
      <vt:lpstr>EnteredOutstandingNotifications</vt:lpstr>
      <vt:lpstr>ExpectedOutstandingNotifications</vt:lpstr>
      <vt:lpstr>ExtraCPUPerDownEventFor1SourceOrDestination</vt:lpstr>
      <vt:lpstr>FractionalAggSAMs</vt:lpstr>
      <vt:lpstr>FractionalPresentationSAMsNeeded</vt:lpstr>
      <vt:lpstr>Growth</vt:lpstr>
      <vt:lpstr>GrowthPerYear</vt:lpstr>
      <vt:lpstr>IPNetworks</vt:lpstr>
      <vt:lpstr>IPServers</vt:lpstr>
      <vt:lpstr>LatencyToIPs</vt:lpstr>
      <vt:lpstr>ManagedPortsAndInterfacesPerIPNetwork</vt:lpstr>
      <vt:lpstr>MangedPortsAndInterfacesPerIPNetwork</vt:lpstr>
      <vt:lpstr>MaxConsolesPerSAM</vt:lpstr>
      <vt:lpstr>MaxCoresPerPresSAM</vt:lpstr>
      <vt:lpstr>MaxCoresPerSAM</vt:lpstr>
      <vt:lpstr>MaxCPUUtilizationFor1OI</vt:lpstr>
      <vt:lpstr>MaxCPUUtilizationForDownTraps</vt:lpstr>
      <vt:lpstr>MaxCPUUtilizationForToposyncs</vt:lpstr>
      <vt:lpstr>MaxCPUUtilizationForTraps</vt:lpstr>
      <vt:lpstr>MaxCPUUtilizationForTrapsFromOI</vt:lpstr>
      <vt:lpstr>MaxCPUUtilizationPerOIServer</vt:lpstr>
      <vt:lpstr>MaxDownEventCPUUtilizationForSourceOrDestination</vt:lpstr>
      <vt:lpstr>'Quick Sizing'!MaxReconnectTime</vt:lpstr>
      <vt:lpstr>MaxReconnectTimeInSeconds</vt:lpstr>
      <vt:lpstr>Memory</vt:lpstr>
      <vt:lpstr>NotificationCPUPerIPServer</vt:lpstr>
      <vt:lpstr>NotificationLatencyPerIPServer</vt:lpstr>
      <vt:lpstr>NSourceOrDestinationAtMaxDownEventUtilization</vt:lpstr>
      <vt:lpstr>NumberOfConsoles</vt:lpstr>
      <vt:lpstr>OIServers</vt:lpstr>
      <vt:lpstr>OneSecond</vt:lpstr>
      <vt:lpstr>'Quick Sizing'!OS</vt:lpstr>
      <vt:lpstr>Data!OS_List</vt:lpstr>
      <vt:lpstr>OSLIST</vt:lpstr>
      <vt:lpstr>PresentationSAMsRequired</vt:lpstr>
      <vt:lpstr>ReconnectCPUPerIPServer</vt:lpstr>
      <vt:lpstr>ReconnectLatencyPerIPServer</vt:lpstr>
      <vt:lpstr>ReconnectTimePerIPServer</vt:lpstr>
      <vt:lpstr>Data!Regression_57.extract</vt:lpstr>
      <vt:lpstr>RetainedNotifications</vt:lpstr>
      <vt:lpstr>SpecIntCPUSpeed</vt:lpstr>
      <vt:lpstr>SpecIntSpeed</vt:lpstr>
      <vt:lpstr>SpecIntThroughput</vt:lpstr>
      <vt:lpstr>ToposyncCompressionPercent</vt:lpstr>
      <vt:lpstr>ToposyncCPU</vt:lpstr>
      <vt:lpstr>ToposyncCPUPerIPServer</vt:lpstr>
      <vt:lpstr>ToposyncLatencyPerIPServer</vt:lpstr>
      <vt:lpstr>'Quick Sizing'!TotalConsolesCPU</vt:lpstr>
      <vt:lpstr>TotalManagedPandI</vt:lpstr>
      <vt:lpstr>TotalUCSs</vt:lpstr>
      <vt:lpstr>'Quick Sizing'!TrapRate</vt:lpstr>
      <vt:lpstr>YearsToGrow</vt:lpstr>
    </vt:vector>
  </TitlesOfParts>
  <Company>EMC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9.2 SAM Sizing and Comparison Sheet - Hard Code Freeze</dc:title>
  <dc:creator>Raji Garikapaty</dc:creator>
  <cp:lastModifiedBy>Samarth Sortur</cp:lastModifiedBy>
  <cp:lastPrinted>2012-11-08T18:00:30Z</cp:lastPrinted>
  <dcterms:created xsi:type="dcterms:W3CDTF">2010-08-20T17:58:22Z</dcterms:created>
  <dcterms:modified xsi:type="dcterms:W3CDTF">2024-09-03T06:29:49Z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0x0101004B44F1A14F116D47A1A5146B7371AC6B</vt:lpwstr>
  </property>
</Properties>
</file>